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3.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4.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830" windowWidth="28770" windowHeight="7875" firstSheet="1" activeTab="2"/>
  </bookViews>
  <sheets>
    <sheet name="Profondeur de champ" sheetId="1" r:id="rId1"/>
    <sheet name="Numérique" sheetId="2" r:id="rId2"/>
    <sheet name="Equivalences de focales, champ" sheetId="3" r:id="rId3"/>
    <sheet name="Nombre guide" sheetId="4" r:id="rId4"/>
    <sheet name="IL et couples diaph_vitesse" sheetId="5" r:id="rId5"/>
    <sheet name="astres" sheetId="6" r:id="rId6"/>
    <sheet name="exposition" sheetId="7" r:id="rId7"/>
    <sheet name="crop" sheetId="8" r:id="rId8"/>
    <sheet name="NO et iso" sheetId="9" r:id="rId9"/>
    <sheet name="cartes mémoire" sheetId="10" r:id="rId10"/>
  </sheets>
  <definedNames>
    <definedName name="_xlnm._FilterDatabase" localSheetId="9" hidden="1">'cartes mémoire'!$A$5:$J$5</definedName>
    <definedName name="d" localSheetId="0">'Profondeur de champ'!$B$24</definedName>
    <definedName name="F" localSheetId="0">'Profondeur de champ'!$B$16</definedName>
    <definedName name="g">'Profondeur de champ'!$B$32</definedName>
    <definedName name="H">'Profondeur de champ'!$B$23</definedName>
    <definedName name="ISO" localSheetId="4">'IL et couples diaph_vitesse'!$B$20</definedName>
    <definedName name="O">'Profondeur de champ'!$B$18</definedName>
    <definedName name="_xlnm.Print_Area" localSheetId="9">'cartes mémoire'!$A$4:$K$41</definedName>
  </definedNames>
  <calcPr fullCalcOnLoad="1"/>
</workbook>
</file>

<file path=xl/comments1.xml><?xml version="1.0" encoding="utf-8"?>
<comments xmlns="http://schemas.openxmlformats.org/spreadsheetml/2006/main">
  <authors>
    <author>Un utilisateur satisfait de Microsoft Office</author>
    <author>gt</author>
    <author>tayeb</author>
  </authors>
  <commentList>
    <comment ref="A21" authorId="0">
      <text>
        <r>
          <rPr>
            <b/>
            <sz val="8"/>
            <rFont val="Tahoma"/>
            <family val="2"/>
          </rPr>
          <t>Diamètre du "grain" sur l'émulsion.
Standard: 0.03mm
Emulsions fines &amp; bons objectifs: 0.02mm
NOTA: les calculs de CI sont généralement faits avec 1/30=0.033mm</t>
        </r>
      </text>
    </comment>
    <comment ref="A23" authorId="0">
      <text>
        <r>
          <rPr>
            <b/>
            <sz val="8"/>
            <rFont val="Tahoma"/>
            <family val="2"/>
          </rPr>
          <t>Distance de mise au point donnant la plus grande profondeur de champ, avec netteté à l'infini.
NOTA: en suivant CI241, 3/02, p.98, on peut calculer pour chaque objectif un nombre K (à noter sur l'objectif), qu'il suffit de diviser par l'ouverture pour obtenir l'hyperfocale.</t>
        </r>
      </text>
    </comment>
    <comment ref="A28" authorId="0">
      <text>
        <r>
          <rPr>
            <b/>
            <sz val="8"/>
            <rFont val="Tahoma"/>
            <family val="2"/>
          </rPr>
          <t>Si le film a des défauts de planéité supérieurs à ± la valeur calculée, l'image sera floue.
Nota: le calcul est pessimiste car fait pour une mise au point à l'infini. A courte distance, le défaut de planéité tolérable est supérieur à la valeur calculée.</t>
        </r>
      </text>
    </comment>
    <comment ref="R11" authorId="1">
      <text>
        <r>
          <rPr>
            <b/>
            <sz val="8"/>
            <rFont val="Tahoma"/>
            <family val="0"/>
          </rPr>
          <t>J'ai simulé un appareil de dimensions réduites en divisant la focale et le "grain" par 5.</t>
        </r>
        <r>
          <rPr>
            <sz val="8"/>
            <rFont val="Tahoma"/>
            <family val="0"/>
          </rPr>
          <t xml:space="preserve">
</t>
        </r>
      </text>
    </comment>
    <comment ref="A20" authorId="1">
      <text>
        <r>
          <rPr>
            <b/>
            <sz val="8"/>
            <rFont val="Tahoma"/>
            <family val="0"/>
          </rPr>
          <t>De combien de pixels on tolère le flou?
Ce nombre est le rapport entre le diamètre du cercle de confusion et l'espacement des pixels.
Quand ce nombre vaut 3 par exemple, la tache focale s'étend sur 3 pixels en linéaire, soit quasiment 9 pixels en surface, et la résolution globale de l'image est approximativement divisée par un facteur 9.
Si on met 1, on ne tolère pas de flou de mise au point supérieur à l'espacement des pixels. Ca donne alors la plage de netteté parfaite.</t>
        </r>
      </text>
    </comment>
    <comment ref="A22" authorId="2">
      <text>
        <r>
          <rPr>
            <b/>
            <sz val="8"/>
            <rFont val="Tahoma"/>
            <family val="0"/>
          </rPr>
          <t>http://www.dofmaster.com/dofjs.html :
The circles of confusion are calculated using the formula
CoC = (CoC for 35mm format) / (Digital camera lens focal length multiplier)</t>
        </r>
        <r>
          <rPr>
            <sz val="8"/>
            <rFont val="Tahoma"/>
            <family val="0"/>
          </rPr>
          <t xml:space="preserve">
</t>
        </r>
        <r>
          <rPr>
            <b/>
            <sz val="8"/>
            <rFont val="Tahoma"/>
            <family val="2"/>
          </rPr>
          <t xml:space="preserve">
Recommandation GT: on peut prendre
CoC = 30 µm / (Digital camera lens focal length multiplier) pour un flou "standard"
CoC = 20 µm / (Digital camera lens focal length multiplier) pour un flou "moindre"
EN CLAIR: 
un CoC de 30µm en plein format, ça veut dire qu'on met 1200 taches de diffraction dans la largeur de l'image (36mm)
un CoC de 20µm en plein format, ça veut dire qu'on met 1800 taches de diffraction dans la largeur de l'image (36mm)</t>
        </r>
      </text>
    </comment>
    <comment ref="A29" authorId="2">
      <text>
        <r>
          <rPr>
            <b/>
            <sz val="8"/>
            <rFont val="Tahoma"/>
            <family val="0"/>
          </rPr>
          <t>Nombre de mégapixels effectifs dans l'image quand on est à la limite du flou, calculée selon: (largeur capteur / cercle de confusion) * (hauteur capteur / cercle de confusion)</t>
        </r>
        <r>
          <rPr>
            <sz val="8"/>
            <rFont val="Tahoma"/>
            <family val="0"/>
          </rPr>
          <t xml:space="preserve">
</t>
        </r>
      </text>
    </comment>
    <comment ref="A14" authorId="2">
      <text>
        <r>
          <rPr>
            <b/>
            <sz val="8"/>
            <rFont val="Tahoma"/>
            <family val="0"/>
          </rPr>
          <t>Pas indispensable à renseigner. Ne sert que pour le calcul du nombre de MPixels.</t>
        </r>
        <r>
          <rPr>
            <sz val="8"/>
            <rFont val="Tahoma"/>
            <family val="0"/>
          </rPr>
          <t xml:space="preserve">
</t>
        </r>
      </text>
    </comment>
    <comment ref="A13" authorId="2">
      <text>
        <r>
          <rPr>
            <b/>
            <sz val="8"/>
            <rFont val="Tahoma"/>
            <family val="0"/>
          </rPr>
          <t xml:space="preserve">Pas indispensable à renseigner. Ne sert que pour le calcul du nombre de MPixels.
</t>
        </r>
        <r>
          <rPr>
            <sz val="8"/>
            <rFont val="Tahoma"/>
            <family val="0"/>
          </rPr>
          <t xml:space="preserve">
</t>
        </r>
      </text>
    </comment>
    <comment ref="A15" authorId="2">
      <text>
        <r>
          <rPr>
            <b/>
            <sz val="8"/>
            <rFont val="Tahoma"/>
            <family val="0"/>
          </rPr>
          <t>si besoin, se trouve sur dpreview.com, sur la fiche descriptive de l'appareil</t>
        </r>
      </text>
    </comment>
    <comment ref="V11" authorId="1">
      <text>
        <r>
          <rPr>
            <b/>
            <sz val="8"/>
            <rFont val="Tahoma"/>
            <family val="0"/>
          </rPr>
          <t>J'ai simulé, en configuration macro, un reflex petit format avec un 105mm, et un compact/bridge qui donne le même rapport d'agrandissement à la même distance</t>
        </r>
      </text>
    </comment>
    <comment ref="V18" authorId="1">
      <text>
        <r>
          <rPr>
            <b/>
            <sz val="8"/>
            <rFont val="Tahoma"/>
            <family val="2"/>
          </rPr>
          <t>Je détermine ici l'ouverture de manière à ce que la diffraction ne dégrade pas trop l'image. Je pars d'une ouverture F/4  pour le bridge, ça donne une tache de diffraction de 2.4µm, soit 6.13/0.0024=2554 taches de diffraction dans la largeur de l'image. Pour le D90, ca fait donc une tache de diffraction de 28.4/2554=11.1µm, ce qui est obtenu pour F/18.2</t>
        </r>
        <r>
          <rPr>
            <sz val="8"/>
            <rFont val="Tahoma"/>
            <family val="0"/>
          </rPr>
          <t xml:space="preserve">
</t>
        </r>
      </text>
    </comment>
    <comment ref="B11" authorId="2">
      <text>
        <r>
          <rPr>
            <b/>
            <sz val="9"/>
            <rFont val="Tahoma"/>
            <family val="0"/>
          </rPr>
          <t>ou argentique</t>
        </r>
        <r>
          <rPr>
            <sz val="9"/>
            <rFont val="Tahoma"/>
            <family val="0"/>
          </rPr>
          <t xml:space="preserve">
</t>
        </r>
      </text>
    </comment>
    <comment ref="B22" authorId="1">
      <text>
        <r>
          <rPr>
            <b/>
            <sz val="8"/>
            <rFont val="Tahoma"/>
            <family val="0"/>
          </rPr>
          <t xml:space="preserve">Celui-ci sert de référence pour toute cette ligne.
Les autres s'en déduisent automatiquement.
</t>
        </r>
        <r>
          <rPr>
            <sz val="8"/>
            <rFont val="Tahoma"/>
            <family val="0"/>
          </rPr>
          <t xml:space="preserve">
</t>
        </r>
      </text>
    </comment>
    <comment ref="H18" authorId="2">
      <text>
        <r>
          <rPr>
            <b/>
            <sz val="9"/>
            <rFont val="Tahoma"/>
            <family val="0"/>
          </rPr>
          <t>8.8 - 220 mm
F/2.4 - 4
(Sony RX10 IV)</t>
        </r>
      </text>
    </comment>
    <comment ref="H11" authorId="2">
      <text>
        <r>
          <rPr>
            <b/>
            <sz val="9"/>
            <rFont val="Tahoma"/>
            <family val="0"/>
          </rPr>
          <t>Sony RX10</t>
        </r>
      </text>
    </comment>
  </commentList>
</comments>
</file>

<file path=xl/comments10.xml><?xml version="1.0" encoding="utf-8"?>
<comments xmlns="http://schemas.openxmlformats.org/spreadsheetml/2006/main">
  <authors>
    <author>gt</author>
    <author>tayeb</author>
  </authors>
  <commentList>
    <comment ref="F16" authorId="0">
      <text>
        <r>
          <rPr>
            <b/>
            <sz val="8"/>
            <rFont val="Tahoma"/>
            <family val="0"/>
          </rPr>
          <t>avantage-multimedia.fr</t>
        </r>
        <r>
          <rPr>
            <sz val="8"/>
            <rFont val="Tahoma"/>
            <family val="0"/>
          </rPr>
          <t xml:space="preserve">
</t>
        </r>
      </text>
    </comment>
    <comment ref="E17" authorId="0">
      <text>
        <r>
          <rPr>
            <b/>
            <sz val="8"/>
            <rFont val="Tahoma"/>
            <family val="0"/>
          </rPr>
          <t>selon les indications mentionnées sur l'emballage</t>
        </r>
        <r>
          <rPr>
            <sz val="8"/>
            <rFont val="Tahoma"/>
            <family val="0"/>
          </rPr>
          <t xml:space="preserve">
</t>
        </r>
      </text>
    </comment>
    <comment ref="H17" authorId="0">
      <text>
        <r>
          <rPr>
            <b/>
            <sz val="8"/>
            <rFont val="Tahoma"/>
            <family val="0"/>
          </rPr>
          <t>nombre d'images avant que le buffer ne soit plein, avec le D7000, raw 14 bits compressé + JPEG standard.
10 images, 1ère image à 6.60s, dernière à 8.40s, taille 244843 kio
Soit 5 images/s</t>
        </r>
        <r>
          <rPr>
            <sz val="8"/>
            <rFont val="Tahoma"/>
            <family val="0"/>
          </rPr>
          <t xml:space="preserve">
 </t>
        </r>
      </text>
    </comment>
    <comment ref="I17" authorId="0">
      <text>
        <r>
          <rPr>
            <b/>
            <sz val="8"/>
            <rFont val="Tahoma"/>
            <family val="0"/>
          </rPr>
          <t>Test avec le D7000. 
Volume des photos lors de la rafale / temps entre les prises de vues extremes. 
Ce qui montre que c'est dans l'appareil que ce fait le buffer, car la carte ne supporte pas ce débit.</t>
        </r>
      </text>
    </comment>
    <comment ref="J17" authorId="0">
      <text>
        <r>
          <rPr>
            <b/>
            <sz val="8"/>
            <rFont val="Tahoma"/>
            <family val="0"/>
          </rPr>
          <t xml:space="preserve">nombre d'images avant que le buffer soit plein, avec le D7000, JPEG standard.
J'ai arrêté à 30 images mais le buffer n'était pas plein, 
1ère image à 9.70s, dernière à 15.90s, taille 163948 kio
soit 4.7 images/s
 </t>
        </r>
        <r>
          <rPr>
            <sz val="8"/>
            <rFont val="Tahoma"/>
            <family val="0"/>
          </rPr>
          <t xml:space="preserve">
</t>
        </r>
      </text>
    </comment>
    <comment ref="B7" authorId="0">
      <text>
        <r>
          <rPr>
            <b/>
            <sz val="8"/>
            <rFont val="Tahoma"/>
            <family val="0"/>
          </rPr>
          <t>FC-32MH High Speed</t>
        </r>
        <r>
          <rPr>
            <sz val="8"/>
            <rFont val="Tahoma"/>
            <family val="0"/>
          </rPr>
          <t xml:space="preserve">
</t>
        </r>
      </text>
    </comment>
    <comment ref="E15" authorId="0">
      <text>
        <r>
          <rPr>
            <b/>
            <sz val="8"/>
            <rFont val="Tahoma"/>
            <family val="0"/>
          </rPr>
          <t>selon les indications mentionnées sur la carte</t>
        </r>
        <r>
          <rPr>
            <sz val="8"/>
            <rFont val="Tahoma"/>
            <family val="0"/>
          </rPr>
          <t xml:space="preserve">
</t>
        </r>
      </text>
    </comment>
    <comment ref="E16" authorId="0">
      <text>
        <r>
          <rPr>
            <b/>
            <sz val="8"/>
            <rFont val="Tahoma"/>
            <family val="0"/>
          </rPr>
          <t>selon les indications mentionnées sur la carte</t>
        </r>
        <r>
          <rPr>
            <sz val="8"/>
            <rFont val="Tahoma"/>
            <family val="0"/>
          </rPr>
          <t xml:space="preserve">
</t>
        </r>
      </text>
    </comment>
    <comment ref="F18" authorId="0">
      <text>
        <r>
          <rPr>
            <b/>
            <sz val="8"/>
            <rFont val="Tahoma"/>
            <family val="0"/>
          </rPr>
          <t>PriceMinister / Memwah</t>
        </r>
        <r>
          <rPr>
            <sz val="8"/>
            <rFont val="Tahoma"/>
            <family val="0"/>
          </rPr>
          <t xml:space="preserve">
</t>
        </r>
      </text>
    </comment>
    <comment ref="F23" authorId="0">
      <text>
        <r>
          <rPr>
            <b/>
            <sz val="8"/>
            <rFont val="Tahoma"/>
            <family val="0"/>
          </rPr>
          <t>Digit-photo
60.90€</t>
        </r>
        <r>
          <rPr>
            <sz val="8"/>
            <rFont val="Tahoma"/>
            <family val="0"/>
          </rPr>
          <t xml:space="preserve">
</t>
        </r>
      </text>
    </comment>
    <comment ref="B18" authorId="0">
      <text>
        <r>
          <rPr>
            <b/>
            <sz val="8"/>
            <rFont val="Tahoma"/>
            <family val="0"/>
          </rPr>
          <t>référence TS16GSDHC10</t>
        </r>
        <r>
          <rPr>
            <sz val="8"/>
            <rFont val="Tahoma"/>
            <family val="0"/>
          </rPr>
          <t xml:space="preserve">
</t>
        </r>
      </text>
    </comment>
    <comment ref="D5" authorId="0">
      <text>
        <r>
          <rPr>
            <b/>
            <sz val="8"/>
            <rFont val="Tahoma"/>
            <family val="0"/>
          </rPr>
          <t>J'ai décidé de toutes les marquer au feutre pour les répertorier et les différencier, notamment quand on en a plusieurs identiques.</t>
        </r>
        <r>
          <rPr>
            <sz val="8"/>
            <rFont val="Tahoma"/>
            <family val="0"/>
          </rPr>
          <t xml:space="preserve">
</t>
        </r>
      </text>
    </comment>
    <comment ref="D16" authorId="0">
      <text>
        <r>
          <rPr>
            <b/>
            <sz val="8"/>
            <rFont val="Tahoma"/>
            <family val="0"/>
          </rPr>
          <t>erreur, ça aurait du être B4</t>
        </r>
        <r>
          <rPr>
            <sz val="8"/>
            <rFont val="Tahoma"/>
            <family val="0"/>
          </rPr>
          <t xml:space="preserve">
</t>
        </r>
      </text>
    </comment>
    <comment ref="B19" authorId="0">
      <text>
        <r>
          <rPr>
            <b/>
            <sz val="8"/>
            <rFont val="Tahoma"/>
            <family val="0"/>
          </rPr>
          <t>C'est exactement la même référence que la précédente: TS16GSDHC10</t>
        </r>
        <r>
          <rPr>
            <sz val="8"/>
            <rFont val="Tahoma"/>
            <family val="0"/>
          </rPr>
          <t xml:space="preserve">
</t>
        </r>
      </text>
    </comment>
    <comment ref="E19" authorId="0">
      <text>
        <r>
          <rPr>
            <b/>
            <sz val="8"/>
            <rFont val="Tahoma"/>
            <family val="0"/>
          </rPr>
          <t>selon les indications mentionnées sur l'emballage</t>
        </r>
        <r>
          <rPr>
            <sz val="8"/>
            <rFont val="Tahoma"/>
            <family val="0"/>
          </rPr>
          <t xml:space="preserve">
</t>
        </r>
      </text>
    </comment>
    <comment ref="F19" authorId="0">
      <text>
        <r>
          <rPr>
            <b/>
            <sz val="8"/>
            <rFont val="Tahoma"/>
            <family val="0"/>
          </rPr>
          <t>Amazon
19.40€, port inclus</t>
        </r>
        <r>
          <rPr>
            <sz val="8"/>
            <rFont val="Tahoma"/>
            <family val="0"/>
          </rPr>
          <t xml:space="preserve">
</t>
        </r>
      </text>
    </comment>
    <comment ref="F20" authorId="1">
      <text>
        <r>
          <rPr>
            <b/>
            <sz val="8"/>
            <rFont val="Tahoma"/>
            <family val="0"/>
          </rPr>
          <t>PriceMinister, Avides, 19.19€</t>
        </r>
      </text>
    </comment>
    <comment ref="F21" authorId="0">
      <text>
        <r>
          <rPr>
            <b/>
            <sz val="8"/>
            <rFont val="Tahoma"/>
            <family val="0"/>
          </rPr>
          <t>Amazon
13.07€</t>
        </r>
        <r>
          <rPr>
            <sz val="8"/>
            <rFont val="Tahoma"/>
            <family val="0"/>
          </rPr>
          <t xml:space="preserve">
</t>
        </r>
      </text>
    </comment>
    <comment ref="E23" authorId="0">
      <text>
        <r>
          <rPr>
            <b/>
            <sz val="8"/>
            <rFont val="Tahoma"/>
            <family val="0"/>
          </rPr>
          <t>selon les indications mentionnées sur la carte</t>
        </r>
        <r>
          <rPr>
            <sz val="8"/>
            <rFont val="Tahoma"/>
            <family val="0"/>
          </rPr>
          <t xml:space="preserve">
</t>
        </r>
      </text>
    </comment>
    <comment ref="H23" authorId="0">
      <text>
        <r>
          <rPr>
            <b/>
            <sz val="8"/>
            <rFont val="Tahoma"/>
            <family val="0"/>
          </rPr>
          <t>Nombre d'images avant que le buffer ne soit plein, avec le D7100, raw 14 bits compressé (sans JPEG).
8 images, 1ère image à 4.20s, dernière à 5.60s, taille 241513 kio.
Soit 5 images/s pendant 1.4s.
Ensuite, ça continue à 2.3 images/s.</t>
        </r>
        <r>
          <rPr>
            <sz val="8"/>
            <rFont val="Tahoma"/>
            <family val="0"/>
          </rPr>
          <t xml:space="preserve">
 </t>
        </r>
      </text>
    </comment>
    <comment ref="F24" authorId="0">
      <text>
        <r>
          <rPr>
            <b/>
            <sz val="8"/>
            <rFont val="Tahoma"/>
            <family val="0"/>
          </rPr>
          <t>Amazon 26.50 €</t>
        </r>
        <r>
          <rPr>
            <sz val="8"/>
            <rFont val="Tahoma"/>
            <family val="0"/>
          </rPr>
          <t xml:space="preserve">
</t>
        </r>
        <r>
          <rPr>
            <b/>
            <sz val="8"/>
            <rFont val="Tahoma"/>
            <family val="2"/>
          </rPr>
          <t>Transcend TS32GSDHC10U1 Carte mémoire SDHC Ultra High Speed UHS-I 600X Classe 10 32 Go</t>
        </r>
      </text>
    </comment>
    <comment ref="E24" authorId="1">
      <text>
        <r>
          <rPr>
            <b/>
            <sz val="9"/>
            <rFont val="Tahoma"/>
            <family val="0"/>
          </rPr>
          <t>Marqué sur l'emballage: "Up to 90 MB/s"
D'après un commentaire Amazon: 
55 Mo/s en lecture et 46 Mo/s en écriture avec CrystalDiskMark et le lecteur de cartes USB 3.0 de la même marque</t>
        </r>
        <r>
          <rPr>
            <sz val="9"/>
            <rFont val="Tahoma"/>
            <family val="0"/>
          </rPr>
          <t xml:space="preserve">
</t>
        </r>
      </text>
    </comment>
    <comment ref="K5" authorId="1">
      <text>
        <r>
          <rPr>
            <b/>
            <sz val="9"/>
            <rFont val="Tahoma"/>
            <family val="2"/>
          </rPr>
          <t>Nbre de photos prises dans une rafale de 1 minute sur un Canon EOS 650D: http://us.hardware.info/reviews/4544/10/49-sd-and-microsd-cards-tested-theres-a-difference-test-results-taking-photos-for-1-minute-with-the-canon-eos-650d</t>
        </r>
        <r>
          <rPr>
            <sz val="9"/>
            <rFont val="Tahoma"/>
            <family val="0"/>
          </rPr>
          <t xml:space="preserve">
</t>
        </r>
      </text>
    </comment>
    <comment ref="K21" authorId="1">
      <text>
        <r>
          <rPr>
            <b/>
            <sz val="9"/>
            <rFont val="Tahoma"/>
            <family val="0"/>
          </rPr>
          <t>avec carte de 64GB</t>
        </r>
        <r>
          <rPr>
            <sz val="9"/>
            <rFont val="Tahoma"/>
            <family val="0"/>
          </rPr>
          <t xml:space="preserve">
</t>
        </r>
      </text>
    </comment>
    <comment ref="K18" authorId="1">
      <text>
        <r>
          <rPr>
            <b/>
            <sz val="9"/>
            <rFont val="Tahoma"/>
            <family val="0"/>
          </rPr>
          <t>avec carte de 64GB</t>
        </r>
        <r>
          <rPr>
            <sz val="9"/>
            <rFont val="Tahoma"/>
            <family val="0"/>
          </rPr>
          <t xml:space="preserve">
</t>
        </r>
      </text>
    </comment>
    <comment ref="K19" authorId="1">
      <text>
        <r>
          <rPr>
            <b/>
            <sz val="9"/>
            <rFont val="Tahoma"/>
            <family val="0"/>
          </rPr>
          <t>avec carte de 64GB</t>
        </r>
        <r>
          <rPr>
            <sz val="9"/>
            <rFont val="Tahoma"/>
            <family val="0"/>
          </rPr>
          <t xml:space="preserve">
</t>
        </r>
      </text>
    </comment>
    <comment ref="E25" authorId="1">
      <text>
        <r>
          <rPr>
            <b/>
            <sz val="9"/>
            <rFont val="Tahoma"/>
            <family val="0"/>
          </rPr>
          <t xml:space="preserve">Marqué sur l'emballage: "Up to 45 MB/s"
</t>
        </r>
      </text>
    </comment>
    <comment ref="F25" authorId="0">
      <text>
        <r>
          <rPr>
            <b/>
            <sz val="8"/>
            <rFont val="Tahoma"/>
            <family val="0"/>
          </rPr>
          <t>Amazon 8.49 €</t>
        </r>
        <r>
          <rPr>
            <sz val="8"/>
            <rFont val="Tahoma"/>
            <family val="0"/>
          </rPr>
          <t xml:space="preserve">
</t>
        </r>
        <r>
          <rPr>
            <b/>
            <sz val="8"/>
            <rFont val="Tahoma"/>
            <family val="2"/>
          </rPr>
          <t xml:space="preserve">Transcend 16 Go SDHC Classe 10 UHS-I 300x TS16GSDU1
</t>
        </r>
      </text>
    </comment>
    <comment ref="B25" authorId="1">
      <text>
        <r>
          <rPr>
            <b/>
            <sz val="9"/>
            <rFont val="Tahoma"/>
            <family val="0"/>
          </rPr>
          <t>Transcend 16 Go SDHC Classe 10 UHS-I 300x TS16GSDU1</t>
        </r>
        <r>
          <rPr>
            <sz val="9"/>
            <rFont val="Tahoma"/>
            <family val="0"/>
          </rPr>
          <t xml:space="preserve">
</t>
        </r>
      </text>
    </comment>
    <comment ref="B26" authorId="1">
      <text>
        <r>
          <rPr>
            <b/>
            <sz val="9"/>
            <rFont val="Tahoma"/>
            <family val="0"/>
          </rPr>
          <t>SanDisk Extreme 16 Go Classe 10 UHS-I U3 avec une vitesse de lecture allant jusqu'à 60 Mo/s et une vitesse d'écriture allant jusqu'à 40 Mo/s. 
Référence SDSDXN2-016G-G46</t>
        </r>
      </text>
    </comment>
    <comment ref="F26" authorId="0">
      <text>
        <r>
          <rPr>
            <b/>
            <sz val="8"/>
            <rFont val="Tahoma"/>
            <family val="0"/>
          </rPr>
          <t>Amazon 25.49 € le pack de 2 cartes, 
soit 12.75€ la carte</t>
        </r>
      </text>
    </comment>
    <comment ref="F27" authorId="0">
      <text>
        <r>
          <rPr>
            <b/>
            <sz val="8"/>
            <rFont val="Tahoma"/>
            <family val="0"/>
          </rPr>
          <t>Amazon 25.49 € le pack de 2 cartes, 
soit 12.75€ la carte</t>
        </r>
      </text>
    </comment>
    <comment ref="E22" authorId="0">
      <text>
        <r>
          <rPr>
            <b/>
            <sz val="8"/>
            <rFont val="Tahoma"/>
            <family val="0"/>
          </rPr>
          <t>selon les indications mentionnées sur la carte</t>
        </r>
        <r>
          <rPr>
            <sz val="8"/>
            <rFont val="Tahoma"/>
            <family val="0"/>
          </rPr>
          <t xml:space="preserve">
</t>
        </r>
      </text>
    </comment>
    <comment ref="L5" authorId="1">
      <text>
        <r>
          <rPr>
            <sz val="9"/>
            <rFont val="Tahoma"/>
            <family val="2"/>
          </rPr>
          <t xml:space="preserve">nombre de photos dans une rafale de 30s, pour des images en RAW seulement, à comparer avec les résultats de
http://www.cameramemoryspeed.com/nikon-d7100/fastest-sd-card-tests/
</t>
        </r>
      </text>
    </comment>
    <comment ref="M5" authorId="1">
      <text>
        <r>
          <rPr>
            <sz val="9"/>
            <rFont val="Tahoma"/>
            <family val="2"/>
          </rPr>
          <t xml:space="preserve">nombre de photos dans une rafale de 30s, pour des images en RAW + JPEG, à comparer avec les résultats de
http://www.cameramemoryspeed.com/nikon-d7100/fastest-sd-card-tests/
</t>
        </r>
      </text>
    </comment>
    <comment ref="L23" authorId="1">
      <text>
        <r>
          <rPr>
            <b/>
            <sz val="9"/>
            <rFont val="Tahoma"/>
            <family val="0"/>
          </rPr>
          <t>rafale de 30s sur le D7100 dans mon mode U2 (RAW 12 bits compressé), fichiers de 25 Mo environ.
Au total, 2 Go (exactement 2011 Mio)</t>
        </r>
        <r>
          <rPr>
            <sz val="9"/>
            <rFont val="Tahoma"/>
            <family val="0"/>
          </rPr>
          <t xml:space="preserve">
</t>
        </r>
      </text>
    </comment>
    <comment ref="M23" authorId="1">
      <text>
        <r>
          <rPr>
            <sz val="9"/>
            <rFont val="Tahoma"/>
            <family val="2"/>
          </rPr>
          <t>rafale de 30s sur le D7100 dans le mode A ordinaire: RAW 14 bits compressé à environ 34Mo + JPEG Normal à environ 6 Mo.
Au total, 2 Go (exactement 1943 Mio)</t>
        </r>
        <r>
          <rPr>
            <sz val="9"/>
            <rFont val="Tahoma"/>
            <family val="0"/>
          </rPr>
          <t xml:space="preserve">
</t>
        </r>
      </text>
    </comment>
    <comment ref="B27" authorId="1">
      <text>
        <r>
          <rPr>
            <b/>
            <sz val="9"/>
            <rFont val="Tahoma"/>
            <family val="0"/>
          </rPr>
          <t>SanDisk Extreme 16 Go Classe 10 UHS-I U3 avec une vitesse de lecture allant jusqu'à 60 Mo/s et une vitesse d'écriture allant jusqu'à 40 Mo/s. 
Référence SDSDXN2-016G-G46</t>
        </r>
      </text>
    </comment>
    <comment ref="G22" authorId="1">
      <text>
        <r>
          <rPr>
            <b/>
            <sz val="9"/>
            <rFont val="Tahoma"/>
            <family val="0"/>
          </rPr>
          <t>photos du 19/07/2012, mais j'ai perdu la trace de cette carte</t>
        </r>
        <r>
          <rPr>
            <sz val="9"/>
            <rFont val="Tahoma"/>
            <family val="0"/>
          </rPr>
          <t xml:space="preserve">
</t>
        </r>
      </text>
    </comment>
    <comment ref="G15" authorId="1">
      <text>
        <r>
          <rPr>
            <b/>
            <sz val="9"/>
            <rFont val="Tahoma"/>
            <family val="0"/>
          </rPr>
          <t>le TZ7 ne contient actuellement plus de carte (08/2015)</t>
        </r>
        <r>
          <rPr>
            <sz val="9"/>
            <rFont val="Tahoma"/>
            <family val="0"/>
          </rPr>
          <t xml:space="preserve">
</t>
        </r>
      </text>
    </comment>
    <comment ref="G27" authorId="1">
      <text>
        <r>
          <rPr>
            <b/>
            <sz val="9"/>
            <rFont val="Tahoma"/>
            <family val="0"/>
          </rPr>
          <t>Dans sac photo.
Utilisée pour l'essai de MAJ du GPS de la LEON. 
Depuis, je l'ai reformatée dans le Z50</t>
        </r>
      </text>
    </comment>
    <comment ref="F28" authorId="1">
      <text>
        <r>
          <rPr>
            <b/>
            <sz val="9"/>
            <rFont val="Tahoma"/>
            <family val="0"/>
          </rPr>
          <t>cdiscount, 20.99€</t>
        </r>
        <r>
          <rPr>
            <sz val="9"/>
            <rFont val="Tahoma"/>
            <family val="0"/>
          </rPr>
          <t xml:space="preserve">
</t>
        </r>
      </text>
    </comment>
    <comment ref="G28" authorId="1">
      <text>
        <r>
          <rPr>
            <b/>
            <sz val="9"/>
            <rFont val="Tahoma"/>
            <family val="0"/>
          </rPr>
          <t>dans sac photo
Formatée pour le Z50</t>
        </r>
        <r>
          <rPr>
            <sz val="9"/>
            <rFont val="Tahoma"/>
            <family val="0"/>
          </rPr>
          <t xml:space="preserve">
</t>
        </r>
      </text>
    </comment>
    <comment ref="F29" authorId="1">
      <text>
        <r>
          <rPr>
            <b/>
            <sz val="9"/>
            <rFont val="Tahoma"/>
            <family val="0"/>
          </rPr>
          <t>Foto Erhardt</t>
        </r>
        <r>
          <rPr>
            <sz val="9"/>
            <rFont val="Tahoma"/>
            <family val="0"/>
          </rPr>
          <t xml:space="preserve">
</t>
        </r>
      </text>
    </comment>
    <comment ref="B29" authorId="1">
      <text>
        <r>
          <rPr>
            <b/>
            <sz val="9"/>
            <rFont val="Tahoma"/>
            <family val="0"/>
          </rPr>
          <t xml:space="preserve">ref SDSDXXY-128G-GN4IN
</t>
        </r>
        <r>
          <rPr>
            <sz val="9"/>
            <rFont val="Tahoma"/>
            <family val="0"/>
          </rPr>
          <t xml:space="preserve">
</t>
        </r>
      </text>
    </comment>
    <comment ref="E29" authorId="1">
      <text>
        <r>
          <rPr>
            <b/>
            <sz val="9"/>
            <rFont val="Tahoma"/>
            <family val="0"/>
          </rPr>
          <t>170 MB/s en lecture
90 MB/s en écriture</t>
        </r>
      </text>
    </comment>
    <comment ref="B30" authorId="1">
      <text>
        <r>
          <rPr>
            <b/>
            <sz val="9"/>
            <rFont val="Tahoma"/>
            <family val="0"/>
          </rPr>
          <t xml:space="preserve">ref SDSDXXD-128G-GN4IN
</t>
        </r>
        <r>
          <rPr>
            <sz val="9"/>
            <rFont val="Tahoma"/>
            <family val="0"/>
          </rPr>
          <t xml:space="preserve">
</t>
        </r>
      </text>
    </comment>
    <comment ref="E30" authorId="1">
      <text>
        <r>
          <rPr>
            <b/>
            <sz val="9"/>
            <rFont val="Tahoma"/>
            <family val="0"/>
          </rPr>
          <t>200 MB/s en lecture
90 MB/s en écriture</t>
        </r>
      </text>
    </comment>
    <comment ref="F30" authorId="1">
      <text>
        <r>
          <rPr>
            <b/>
            <sz val="9"/>
            <rFont val="Tahoma"/>
            <family val="0"/>
          </rPr>
          <t>amazon, 23.99 €</t>
        </r>
        <r>
          <rPr>
            <sz val="9"/>
            <rFont val="Tahoma"/>
            <family val="0"/>
          </rPr>
          <t xml:space="preserve">
</t>
        </r>
      </text>
    </comment>
  </commentList>
</comments>
</file>

<file path=xl/comments2.xml><?xml version="1.0" encoding="utf-8"?>
<comments xmlns="http://schemas.openxmlformats.org/spreadsheetml/2006/main">
  <authors>
    <author>G?rard TAYEB</author>
    <author>gg</author>
    <author>gt</author>
  </authors>
  <commentList>
    <comment ref="F4" authorId="0">
      <text>
        <r>
          <rPr>
            <b/>
            <sz val="8"/>
            <rFont val="Tahoma"/>
            <family val="2"/>
          </rPr>
          <t xml:space="preserve">Codé sur 24 bits = 3 octets par pixel
</t>
        </r>
      </text>
    </comment>
    <comment ref="E6" authorId="1">
      <text>
        <r>
          <rPr>
            <b/>
            <sz val="8"/>
            <rFont val="Tahoma"/>
            <family val="0"/>
          </rPr>
          <t>Codé sur 24 bits = 3 octets par pixel</t>
        </r>
      </text>
    </comment>
    <comment ref="A10" authorId="1">
      <text>
        <r>
          <rPr>
            <b/>
            <sz val="8"/>
            <rFont val="Tahoma"/>
            <family val="0"/>
          </rPr>
          <t>Canon G3</t>
        </r>
      </text>
    </comment>
    <comment ref="A14" authorId="1">
      <text>
        <r>
          <rPr>
            <b/>
            <sz val="8"/>
            <rFont val="Tahoma"/>
            <family val="0"/>
          </rPr>
          <t>à la résolution max disponible</t>
        </r>
      </text>
    </comment>
    <comment ref="B38" authorId="1">
      <text>
        <r>
          <rPr>
            <b/>
            <sz val="8"/>
            <rFont val="Tahoma"/>
            <family val="0"/>
          </rPr>
          <t>Diamètre du "grain" sur l'émulsion.
Standard: 0.03mm
Emulsions fines &amp; bons objectifs: 0.02mm
NOTA: les calculs de CI sont généralement faits avec 1/30=0.033mm</t>
        </r>
        <r>
          <rPr>
            <sz val="8"/>
            <rFont val="Tahoma"/>
            <family val="0"/>
          </rPr>
          <t xml:space="preserve">
</t>
        </r>
      </text>
    </comment>
    <comment ref="F6" authorId="2">
      <text>
        <r>
          <rPr>
            <b/>
            <sz val="8"/>
            <rFont val="Tahoma"/>
            <family val="0"/>
          </rPr>
          <t>résolution d'impression</t>
        </r>
        <r>
          <rPr>
            <sz val="8"/>
            <rFont val="Tahoma"/>
            <family val="0"/>
          </rPr>
          <t xml:space="preserve">
</t>
        </r>
      </text>
    </comment>
    <comment ref="G6" authorId="2">
      <text>
        <r>
          <rPr>
            <b/>
            <sz val="8"/>
            <rFont val="Tahoma"/>
            <family val="0"/>
          </rPr>
          <t>dimension de la photo imprimée à cette résolution</t>
        </r>
        <r>
          <rPr>
            <sz val="8"/>
            <rFont val="Tahoma"/>
            <family val="0"/>
          </rPr>
          <t xml:space="preserve">
</t>
        </r>
      </text>
    </comment>
  </commentList>
</comments>
</file>

<file path=xl/comments3.xml><?xml version="1.0" encoding="utf-8"?>
<comments xmlns="http://schemas.openxmlformats.org/spreadsheetml/2006/main">
  <authors>
    <author>gg</author>
    <author>gt</author>
    <author>tayeb</author>
    <author>GT</author>
    <author>Un utilisateur satisfait de Microsoft Office</author>
  </authors>
  <commentList>
    <comment ref="B23" authorId="0">
      <text>
        <r>
          <rPr>
            <b/>
            <sz val="8"/>
            <rFont val="Tahoma"/>
            <family val="0"/>
          </rPr>
          <t>Standard Olympus</t>
        </r>
        <r>
          <rPr>
            <sz val="8"/>
            <rFont val="Tahoma"/>
            <family val="0"/>
          </rPr>
          <t xml:space="preserve">
</t>
        </r>
      </text>
    </comment>
    <comment ref="B29" authorId="0">
      <text>
        <r>
          <rPr>
            <b/>
            <sz val="8"/>
            <rFont val="Tahoma"/>
            <family val="0"/>
          </rPr>
          <t xml:space="preserve">CCD 1/1.8" (dimensions du capteur du Coolpix 990)
www.dpreview.com donne une taille de 7.18 x 5.32 mm </t>
        </r>
      </text>
    </comment>
    <comment ref="B38" authorId="1">
      <text>
        <r>
          <rPr>
            <b/>
            <sz val="8"/>
            <rFont val="Tahoma"/>
            <family val="0"/>
          </rPr>
          <t>Canon PowerShot A70</t>
        </r>
        <r>
          <rPr>
            <sz val="8"/>
            <rFont val="Tahoma"/>
            <family val="0"/>
          </rPr>
          <t xml:space="preserve">
</t>
        </r>
      </text>
    </comment>
    <comment ref="B28" authorId="1">
      <text>
        <r>
          <rPr>
            <b/>
            <sz val="8"/>
            <rFont val="Tahoma"/>
            <family val="0"/>
          </rPr>
          <t xml:space="preserve">Fujifilm FinePix S100Fs
</t>
        </r>
      </text>
    </comment>
    <comment ref="B37" authorId="1">
      <text>
        <r>
          <rPr>
            <b/>
            <sz val="8"/>
            <rFont val="Tahoma"/>
            <family val="0"/>
          </rPr>
          <t xml:space="preserve">Olympus SP-570 UZ
</t>
        </r>
      </text>
    </comment>
    <comment ref="Q6" authorId="1">
      <text>
        <r>
          <rPr>
            <b/>
            <sz val="8"/>
            <rFont val="Tahoma"/>
            <family val="0"/>
          </rPr>
          <t xml:space="preserve">à la longueur d'onde ci-dessus. 
Le diamètre de la tache de diffraction est égal au rayon de la tache d'Airy, calculé par:
rayon = 1.22 * lambda * NO
Voir aussi:
https://www.cambridgeincolour.com/tutorials/diffraction-photography.htm
qui donne des tas de détails et une applet, mais je ne suis pas d'accord avec eux.
Ils prennent 0.55 µm et comparent le diamètre de la tache d'Airy à l'espacement des pixels.
Je prends 0.5 µm et je compare le rayon de la tache d'Airy à l'espacement des pixels.
Ca donne des résultats complètement différents (plus de 2 en linéaire et plus de 4 en surfacique).
Mais en fait cambridgeincolour.com se contredit 
- entre certains calculs où ils comparent le diamètre de de la tache d'Airy à l'espacement des pixels, 
- et leur applet ainsi que ce commentaire de leur page: 
"As a result of the sensor's anti-aliasing filter (and the Rayleigh criterion above), 
an airy disk can have a diameter of about 2-3 pixels before diffraction limits resolution 
(assuming an otherwise perfect lens). However, diffraction will likely have a visual 
impact prior to reaching this diameter."
Du coup, leur commentaire retombe en accord avec mes calculs.
Et leur applet est aussi parfaitement en accord avec mes calculs.
L'explication est que le rayon donné par la formule correspond au zéro de la fonction de Bessel,
et que la tache de diffraction est à peu près deux fois plus petite.
</t>
        </r>
      </text>
    </comment>
    <comment ref="B7" authorId="1">
      <text>
        <r>
          <rPr>
            <b/>
            <sz val="8"/>
            <rFont val="Tahoma"/>
            <family val="0"/>
          </rPr>
          <t>par exemple: Canon EOS-1Ds</t>
        </r>
        <r>
          <rPr>
            <sz val="8"/>
            <rFont val="Tahoma"/>
            <family val="0"/>
          </rPr>
          <t xml:space="preserve">
</t>
        </r>
      </text>
    </comment>
    <comment ref="I6" authorId="1">
      <text>
        <r>
          <rPr>
            <b/>
            <sz val="8"/>
            <rFont val="Tahoma"/>
            <family val="0"/>
          </rPr>
          <t>En fait, il s'agit ici plutôt de la distance entre pixels, en supposant une matrice de pixels à maille carrée.</t>
        </r>
        <r>
          <rPr>
            <sz val="8"/>
            <rFont val="Tahoma"/>
            <family val="0"/>
          </rPr>
          <t xml:space="preserve">
</t>
        </r>
      </text>
    </comment>
    <comment ref="AA6" authorId="2">
      <text>
        <r>
          <rPr>
            <b/>
            <sz val="8"/>
            <rFont val="Tahoma"/>
            <family val="0"/>
          </rPr>
          <t>On suppose que l'objet est dans le plan de l'équateur (déplacement de 360° en 24h). C'est à peu près le cas de tous les objets courants du système solaire. 
Mais pour des objets situés près de l'axe de rotation de la Terre, les déplacements tendent vers zéro.
Voir aussi :
http://www.sahavre.fr/tutoriels/astrophoto/34-regle-npf-temps-de-pose-pour-eviter-le-file-d-etoiles</t>
        </r>
        <r>
          <rPr>
            <sz val="8"/>
            <rFont val="Tahoma"/>
            <family val="0"/>
          </rPr>
          <t xml:space="preserve">
</t>
        </r>
      </text>
    </comment>
    <comment ref="K6" authorId="2">
      <text>
        <r>
          <rPr>
            <b/>
            <sz val="8"/>
            <rFont val="Tahoma"/>
            <family val="0"/>
          </rPr>
          <t xml:space="preserve">Estimation.
Si le nombre est connu, remplacer la formule et le mettre en gras. </t>
        </r>
        <r>
          <rPr>
            <sz val="8"/>
            <rFont val="Tahoma"/>
            <family val="0"/>
          </rPr>
          <t xml:space="preserve">
</t>
        </r>
      </text>
    </comment>
    <comment ref="M37" authorId="2">
      <text>
        <r>
          <rPr>
            <b/>
            <sz val="8"/>
            <rFont val="Tahoma"/>
            <family val="0"/>
          </rPr>
          <t>4.6 - 92</t>
        </r>
        <r>
          <rPr>
            <sz val="8"/>
            <rFont val="Tahoma"/>
            <family val="0"/>
          </rPr>
          <t xml:space="preserve">
</t>
        </r>
      </text>
    </comment>
    <comment ref="M29" authorId="2">
      <text>
        <r>
          <rPr>
            <b/>
            <sz val="8"/>
            <rFont val="Tahoma"/>
            <family val="0"/>
          </rPr>
          <t>8 - 24 mm</t>
        </r>
        <r>
          <rPr>
            <sz val="8"/>
            <rFont val="Tahoma"/>
            <family val="0"/>
          </rPr>
          <t xml:space="preserve">
</t>
        </r>
        <r>
          <rPr>
            <b/>
            <sz val="8"/>
            <rFont val="Tahoma"/>
            <family val="2"/>
          </rPr>
          <t>f/2.5 -4
Coolpix 990</t>
        </r>
      </text>
    </comment>
    <comment ref="O18" authorId="1">
      <text>
        <r>
          <rPr>
            <b/>
            <sz val="8"/>
            <rFont val="Tahoma"/>
            <family val="0"/>
          </rPr>
          <t>Comme dans les données EXIF de l'image, Nikon utilise 1.5 (par ex avec le 300mm il indique 300 et 450), j'ai aussi utilisé 1.5 dans cameras.properties.
Mais Nikon donne 1.53, cf. 
http://sn.im/dxomark-d90-d300-d7000</t>
        </r>
      </text>
    </comment>
    <comment ref="O19" authorId="1">
      <text>
        <r>
          <rPr>
            <b/>
            <sz val="8"/>
            <rFont val="Tahoma"/>
            <family val="0"/>
          </rPr>
          <t>Nikon donne 1.50, cf. 
http://sn.im/dxomark-d90-d300-d7000</t>
        </r>
        <r>
          <rPr>
            <sz val="8"/>
            <rFont val="Tahoma"/>
            <family val="0"/>
          </rPr>
          <t xml:space="preserve">
</t>
        </r>
      </text>
    </comment>
    <comment ref="B34" authorId="1">
      <text>
        <r>
          <rPr>
            <b/>
            <sz val="8"/>
            <rFont val="Tahoma"/>
            <family val="0"/>
          </rPr>
          <t xml:space="preserve">Olympus SP-570 UZ
</t>
        </r>
      </text>
    </comment>
    <comment ref="M34" authorId="2">
      <text>
        <r>
          <rPr>
            <b/>
            <sz val="8"/>
            <rFont val="Tahoma"/>
            <family val="0"/>
          </rPr>
          <t>4.3 - 150.5 mm
F/2.7 - 5.8
(SX40 HS)</t>
        </r>
        <r>
          <rPr>
            <sz val="8"/>
            <rFont val="Tahoma"/>
            <family val="0"/>
          </rPr>
          <t xml:space="preserve">
</t>
        </r>
      </text>
    </comment>
    <comment ref="O17" authorId="1">
      <text>
        <r>
          <rPr>
            <b/>
            <sz val="8"/>
            <rFont val="Tahoma"/>
            <family val="0"/>
          </rPr>
          <t>Comme dans les données EXIF de l'image, Nikon utilise 1.5 (par ex avec le 300mm il indique 300 et 450), j'ai aussi utilisé 1.5 dans cameras.properties.
Mais Nikon donne 1.53, cf. 
http://sn.im/dxomark-d90-d300-d7000</t>
        </r>
      </text>
    </comment>
    <comment ref="C39" authorId="3">
      <text>
        <r>
          <rPr>
            <b/>
            <sz val="9"/>
            <rFont val="Tahoma"/>
            <family val="0"/>
          </rPr>
          <t>Samsung Galaxy S4
Sony Xperia XZ</t>
        </r>
      </text>
    </comment>
    <comment ref="K39" authorId="3">
      <text>
        <r>
          <rPr>
            <b/>
            <sz val="9"/>
            <rFont val="Tahoma"/>
            <family val="0"/>
          </rPr>
          <t>4208 pour le Galaxy S4</t>
        </r>
        <r>
          <rPr>
            <sz val="9"/>
            <rFont val="Tahoma"/>
            <family val="0"/>
          </rPr>
          <t xml:space="preserve">
</t>
        </r>
      </text>
    </comment>
    <comment ref="N39" authorId="3">
      <text>
        <r>
          <rPr>
            <b/>
            <sz val="9"/>
            <rFont val="Tahoma"/>
            <family val="0"/>
          </rPr>
          <t>22mm pour les Xperia XZ et XZs</t>
        </r>
        <r>
          <rPr>
            <sz val="9"/>
            <rFont val="Tahoma"/>
            <family val="0"/>
          </rPr>
          <t xml:space="preserve">
</t>
        </r>
      </text>
    </comment>
    <comment ref="M36" authorId="2">
      <text>
        <r>
          <rPr>
            <b/>
            <sz val="8"/>
            <rFont val="Tahoma"/>
            <family val="0"/>
          </rPr>
          <t>4.5 - 135
f/3.2-6.9
(SX700 HS)</t>
        </r>
        <r>
          <rPr>
            <sz val="8"/>
            <rFont val="Tahoma"/>
            <family val="0"/>
          </rPr>
          <t xml:space="preserve">
</t>
        </r>
      </text>
    </comment>
    <comment ref="M30" authorId="2">
      <text>
        <r>
          <rPr>
            <b/>
            <sz val="8"/>
            <rFont val="Tahoma"/>
            <family val="0"/>
          </rPr>
          <t>4.3 - 357 mm
F/2.8 - 6.5
(P900)</t>
        </r>
        <r>
          <rPr>
            <sz val="8"/>
            <rFont val="Tahoma"/>
            <family val="0"/>
          </rPr>
          <t xml:space="preserve">
</t>
        </r>
      </text>
    </comment>
    <comment ref="M35" authorId="2">
      <text>
        <r>
          <rPr>
            <b/>
            <sz val="8"/>
            <rFont val="Tahoma"/>
            <family val="0"/>
          </rPr>
          <t>4.3 - 172 mm
F/3.3 - 6.9
(SX720 HS)</t>
        </r>
        <r>
          <rPr>
            <sz val="8"/>
            <rFont val="Tahoma"/>
            <family val="0"/>
          </rPr>
          <t xml:space="preserve">
</t>
        </r>
      </text>
    </comment>
    <comment ref="J32" authorId="2">
      <text>
        <r>
          <rPr>
            <b/>
            <sz val="9"/>
            <rFont val="Tahoma"/>
            <family val="0"/>
          </rPr>
          <t>Selon dpreview, le capteur a 19MPx, dont 18MPx utilisés.</t>
        </r>
      </text>
    </comment>
    <comment ref="M32" authorId="2">
      <text>
        <r>
          <rPr>
            <b/>
            <sz val="8"/>
            <rFont val="Tahoma"/>
            <family val="0"/>
          </rPr>
          <t>3.58 - 215 mm
F/2.8 - 5.9
(FZ80/FZ82)</t>
        </r>
        <r>
          <rPr>
            <sz val="8"/>
            <rFont val="Tahoma"/>
            <family val="0"/>
          </rPr>
          <t xml:space="preserve">
</t>
        </r>
      </text>
    </comment>
    <comment ref="M31" authorId="2">
      <text>
        <r>
          <rPr>
            <b/>
            <sz val="8"/>
            <rFont val="Tahoma"/>
            <family val="0"/>
          </rPr>
          <t>4.5 - 108 mm
F/2.8
(FZ300)</t>
        </r>
        <r>
          <rPr>
            <sz val="8"/>
            <rFont val="Tahoma"/>
            <family val="0"/>
          </rPr>
          <t xml:space="preserve">
</t>
        </r>
      </text>
    </comment>
    <comment ref="J31" authorId="2">
      <text>
        <r>
          <rPr>
            <b/>
            <sz val="9"/>
            <rFont val="Tahoma"/>
            <family val="0"/>
          </rPr>
          <t>Selon dpreview, le capteur a 13MPx, dont 12MPx utilisés.</t>
        </r>
      </text>
    </comment>
    <comment ref="M33" authorId="2">
      <text>
        <r>
          <rPr>
            <b/>
            <sz val="8"/>
            <rFont val="Tahoma"/>
            <family val="0"/>
          </rPr>
          <t>3.8 - 247 mm
F/3.4 - 6.5
(SX70 HS)</t>
        </r>
        <r>
          <rPr>
            <sz val="8"/>
            <rFont val="Tahoma"/>
            <family val="0"/>
          </rPr>
          <t xml:space="preserve">
</t>
        </r>
      </text>
    </comment>
    <comment ref="J33" authorId="2">
      <text>
        <r>
          <rPr>
            <b/>
            <sz val="9"/>
            <rFont val="Tahoma"/>
            <family val="0"/>
          </rPr>
          <t>Selon dpreview, le capteur a 21MPx, dont 20MPx utilisés.</t>
        </r>
      </text>
    </comment>
    <comment ref="M27" authorId="2">
      <text>
        <r>
          <rPr>
            <b/>
            <sz val="8"/>
            <rFont val="Tahoma"/>
            <family val="0"/>
          </rPr>
          <t>8.8 - 176 mm
F/2.8 - 4.5
(FZ2000)</t>
        </r>
        <r>
          <rPr>
            <sz val="8"/>
            <rFont val="Tahoma"/>
            <family val="0"/>
          </rPr>
          <t xml:space="preserve">
</t>
        </r>
      </text>
    </comment>
    <comment ref="J27" authorId="2">
      <text>
        <r>
          <rPr>
            <b/>
            <sz val="9"/>
            <rFont val="Tahoma"/>
            <family val="0"/>
          </rPr>
          <t>Selon dpreview, le capteur a 21MPx, dont 20MPx utilisés.</t>
        </r>
      </text>
    </comment>
    <comment ref="V6" authorId="2">
      <text>
        <r>
          <rPr>
            <b/>
            <sz val="9"/>
            <rFont val="Tahoma"/>
            <family val="0"/>
          </rPr>
          <t>détail visible (en mm) à la distance mentionnée ci-dessus (en m),
compte tenu de la tache de diffraction et de la taille des pixels, 
et en supposant l'optique parfaite.</t>
        </r>
      </text>
    </comment>
    <comment ref="P23" authorId="2">
      <text>
        <r>
          <rPr>
            <b/>
            <sz val="9"/>
            <rFont val="Tahoma"/>
            <family val="0"/>
          </rPr>
          <t>Le Panasonic 100-400 ouvre à f/4-6.3</t>
        </r>
        <r>
          <rPr>
            <sz val="9"/>
            <rFont val="Tahoma"/>
            <family val="0"/>
          </rPr>
          <t xml:space="preserve">
</t>
        </r>
      </text>
    </comment>
    <comment ref="P24" authorId="2">
      <text>
        <r>
          <rPr>
            <b/>
            <sz val="9"/>
            <rFont val="Tahoma"/>
            <family val="0"/>
          </rPr>
          <t>Le Panasonic 100-400 ouvre à f/4-6.3</t>
        </r>
        <r>
          <rPr>
            <sz val="9"/>
            <rFont val="Tahoma"/>
            <family val="0"/>
          </rPr>
          <t xml:space="preserve">
</t>
        </r>
      </text>
    </comment>
    <comment ref="M26" authorId="2">
      <text>
        <r>
          <rPr>
            <b/>
            <sz val="8"/>
            <rFont val="Tahoma"/>
            <family val="0"/>
          </rPr>
          <t>8.8 - 220 mm
F/2.4 - 4
(Sony RX10 IV)</t>
        </r>
      </text>
    </comment>
    <comment ref="AC6" authorId="1">
      <text>
        <r>
          <rPr>
            <b/>
            <sz val="8"/>
            <rFont val="Tahoma"/>
            <family val="0"/>
          </rPr>
          <t>De combien de pixels on tolère le flou?
Ce nombre est le rapport entre le diamètre du cercle de confusion et l'espacement des pixels.
Quand ce nombre vaut 3 par exemple, la tache focale s'étend sur 3 pixels en linéaire, soit quasiment 9 pixels en surface, et la résolution globale de l'image est approximativement divisée par un facteur 9.
Si on met 1, on ne tolère pas de flou de mise au point supérieur à l'espacement des pixels. Ca donne alors la plage de netteté parfaite.
Je prends par défaut la valeur utilisée par dofjs.html, mais on peut la remplacer.</t>
        </r>
      </text>
    </comment>
    <comment ref="AD6" authorId="4">
      <text>
        <r>
          <rPr>
            <b/>
            <sz val="8"/>
            <rFont val="Tahoma"/>
            <family val="2"/>
          </rPr>
          <t>Circle of Confusion used for the determination of the DoF 
and the number of Mega CoC in the image.
The default value is calculated from the one used by dofjs.html (column just after).
You can replace it by a calculation based on a number of pixels (column just before),
or you can directly put here any value that you want.
-----------------------------------------------------------
Commentaires originaux:
Diamètre du "grain" sur l'émulsion.
Standard: 0.03mm
Emulsions fines &amp; bons objectifs: 0.02mm
NOTA: les calculs de CI sont généralement faits avec 1/30=0.033mm</t>
        </r>
      </text>
    </comment>
    <comment ref="AE6" authorId="2">
      <text>
        <r>
          <rPr>
            <b/>
            <sz val="8"/>
            <rFont val="Tahoma"/>
            <family val="0"/>
          </rPr>
          <t>http://www.dofmaster.com/dofjs.html :
The circles of confusion are calculated using the formula
CoC = (CoC for 35mm format) / (Digital camera lens focal length multiplier)</t>
        </r>
        <r>
          <rPr>
            <sz val="8"/>
            <rFont val="Tahoma"/>
            <family val="0"/>
          </rPr>
          <t xml:space="preserve">
</t>
        </r>
        <r>
          <rPr>
            <b/>
            <sz val="8"/>
            <rFont val="Tahoma"/>
            <family val="2"/>
          </rPr>
          <t xml:space="preserve">
Recommandation GT: on peut prendre
CoC = 30 µm / (Digital camera lens focal length multiplier) pour un flou "standard"
CoC = 20 µm / (Digital camera lens focal length multiplier) pour un flou "moindre"
EN CLAIR: 
un CoC de 30µm en plein format, ça veut dire qu'on met 1200 taches de diffraction dans la largeur de l'image (36mm)
un CoC de 20µm en plein format, ça veut dire qu'on met 1800 taches de diffraction dans la largeur de l'image (36mm)</t>
        </r>
      </text>
    </comment>
    <comment ref="AF6" authorId="4">
      <text>
        <r>
          <rPr>
            <b/>
            <sz val="8"/>
            <rFont val="Tahoma"/>
            <family val="2"/>
          </rPr>
          <t>Distance de mise au point donnant la plus grande profondeur de champ, avec netteté à l'infini.
NOTA: en suivant CI241, 3/02, p.98, on peut calculer pour chaque objectif un nombre K (à noter sur l'objectif), qu'il suffit de diviser par l'ouverture pour obtenir l'hyperfocale.</t>
        </r>
      </text>
    </comment>
    <comment ref="AL6" authorId="4">
      <text>
        <r>
          <rPr>
            <b/>
            <sz val="8"/>
            <rFont val="Tahoma"/>
            <family val="2"/>
          </rPr>
          <t>Si le film a des défauts de planéité supérieurs à ± la valeur calculée, l'image sera floue.
Nota: le calcul est pessimiste car fait pour une mise au point à l'infini. A courte distance, le défaut de planéité tolérable est supérieur à la valeur calculée.</t>
        </r>
      </text>
    </comment>
    <comment ref="AQ6" authorId="2">
      <text>
        <r>
          <rPr>
            <b/>
            <sz val="8"/>
            <rFont val="Tahoma"/>
            <family val="0"/>
          </rPr>
          <t>Number of confusion circles in the image.
Nombre de mégapixels effectifs dans l'image quand on est à la limite du flou, 
calculé selon: 
(largeur capteur / cercle de confusion) * (hauteur capteur / cercle de confusion).</t>
        </r>
        <r>
          <rPr>
            <sz val="8"/>
            <rFont val="Tahoma"/>
            <family val="0"/>
          </rPr>
          <t xml:space="preserve">
</t>
        </r>
      </text>
    </comment>
    <comment ref="AE5" authorId="1">
      <text>
        <r>
          <rPr>
            <b/>
            <sz val="8"/>
            <rFont val="Tahoma"/>
            <family val="0"/>
          </rPr>
          <t>Celui-ci, exprimé pour le 24x36 en µm, sert de référence pour toute cette colonne.
Les autres s'en déduisent automatiquement.</t>
        </r>
      </text>
    </comment>
    <comment ref="O44" authorId="1">
      <text>
        <r>
          <rPr>
            <b/>
            <sz val="8"/>
            <rFont val="Tahoma"/>
            <family val="0"/>
          </rPr>
          <t>Nikon donne 1.50, cf. 
http://sn.im/dxomark-d90-d300-d7000</t>
        </r>
        <r>
          <rPr>
            <sz val="8"/>
            <rFont val="Tahoma"/>
            <family val="0"/>
          </rPr>
          <t xml:space="preserve">
</t>
        </r>
      </text>
    </comment>
    <comment ref="B45" authorId="1">
      <text>
        <r>
          <rPr>
            <b/>
            <sz val="8"/>
            <rFont val="Tahoma"/>
            <family val="0"/>
          </rPr>
          <t xml:space="preserve">Olympus SP-570 UZ
</t>
        </r>
      </text>
    </comment>
    <comment ref="M45" authorId="2">
      <text>
        <r>
          <rPr>
            <b/>
            <sz val="8"/>
            <rFont val="Tahoma"/>
            <family val="0"/>
          </rPr>
          <t>4.6 - 92</t>
        </r>
        <r>
          <rPr>
            <sz val="8"/>
            <rFont val="Tahoma"/>
            <family val="0"/>
          </rPr>
          <t xml:space="preserve">
</t>
        </r>
      </text>
    </comment>
    <comment ref="O47" authorId="1">
      <text>
        <r>
          <rPr>
            <b/>
            <sz val="8"/>
            <rFont val="Tahoma"/>
            <family val="0"/>
          </rPr>
          <t>Comme dans les données EXIF de l'image, Nikon utilise 1.5 (par ex avec le 300mm il indique 300 et 450), j'ai aussi utilisé 1.5 dans cameras.properties.
Mais Nikon donne 1.53, cf. 
http://sn.im/dxomark-d90-d300-d7000</t>
        </r>
      </text>
    </comment>
    <comment ref="M48" authorId="2">
      <text>
        <r>
          <rPr>
            <b/>
            <sz val="8"/>
            <rFont val="Tahoma"/>
            <family val="0"/>
          </rPr>
          <t>8.8 - 220 mm
F/2.4 - 4
(Sony RX10 IV)</t>
        </r>
        <r>
          <rPr>
            <sz val="8"/>
            <rFont val="Tahoma"/>
            <family val="0"/>
          </rPr>
          <t xml:space="preserve">
</t>
        </r>
      </text>
    </comment>
    <comment ref="AO6" authorId="2">
      <text>
        <r>
          <rPr>
            <b/>
            <sz val="8"/>
            <rFont val="Tahoma"/>
            <family val="0"/>
          </rPr>
          <t>Million of diffraction spots in the image</t>
        </r>
      </text>
    </comment>
    <comment ref="P26" authorId="2">
      <text>
        <r>
          <rPr>
            <b/>
            <sz val="9"/>
            <rFont val="Tahoma"/>
            <family val="0"/>
          </rPr>
          <t>8.8 - 220 mm
F/2.4 - 4
(Sony RX10 IV)</t>
        </r>
        <r>
          <rPr>
            <sz val="9"/>
            <rFont val="Tahoma"/>
            <family val="0"/>
          </rPr>
          <t xml:space="preserve">
</t>
        </r>
      </text>
    </comment>
    <comment ref="P48" authorId="2">
      <text>
        <r>
          <rPr>
            <b/>
            <sz val="9"/>
            <rFont val="Tahoma"/>
            <family val="0"/>
          </rPr>
          <t>8.8 - 220 mm
F/2.4 - 4
(Sony RX10 IV)</t>
        </r>
        <r>
          <rPr>
            <sz val="9"/>
            <rFont val="Tahoma"/>
            <family val="0"/>
          </rPr>
          <t xml:space="preserve">
</t>
        </r>
      </text>
    </comment>
    <comment ref="O54" authorId="1">
      <text>
        <r>
          <rPr>
            <b/>
            <sz val="8"/>
            <rFont val="Tahoma"/>
            <family val="0"/>
          </rPr>
          <t>Comme dans les données EXIF de l'image, Nikon utilise 1.5 (par ex avec le 300mm il indique 300 et 450), j'ai aussi utilisé 1.5 dans cameras.properties.
Mais Nikon donne 1.53, cf. 
http://sn.im/dxomark-d90-d300-d7000</t>
        </r>
      </text>
    </comment>
    <comment ref="M55" authorId="2">
      <text>
        <r>
          <rPr>
            <b/>
            <sz val="8"/>
            <rFont val="Tahoma"/>
            <family val="0"/>
          </rPr>
          <t>8.8 - 220 mm
F/2.4 - 4
(Sony RX10 IV)</t>
        </r>
        <r>
          <rPr>
            <sz val="8"/>
            <rFont val="Tahoma"/>
            <family val="0"/>
          </rPr>
          <t xml:space="preserve">
</t>
        </r>
      </text>
    </comment>
    <comment ref="P55" authorId="2">
      <text>
        <r>
          <rPr>
            <b/>
            <sz val="9"/>
            <rFont val="Tahoma"/>
            <family val="0"/>
          </rPr>
          <t>8.8 - 220 mm
F/2.4 - 4
(Sony RX10 IV)</t>
        </r>
        <r>
          <rPr>
            <sz val="9"/>
            <rFont val="Tahoma"/>
            <family val="0"/>
          </rPr>
          <t xml:space="preserve">
</t>
        </r>
      </text>
    </comment>
    <comment ref="M56" authorId="2">
      <text>
        <r>
          <rPr>
            <b/>
            <sz val="8"/>
            <rFont val="Tahoma"/>
            <family val="0"/>
          </rPr>
          <t>4.3 - 150.5 mm
F/2.7 - 5.8
(SX40 HS)</t>
        </r>
        <r>
          <rPr>
            <sz val="8"/>
            <rFont val="Tahoma"/>
            <family val="0"/>
          </rPr>
          <t xml:space="preserve">
</t>
        </r>
      </text>
    </comment>
    <comment ref="M57" authorId="2">
      <text>
        <r>
          <rPr>
            <b/>
            <sz val="8"/>
            <rFont val="Tahoma"/>
            <family val="0"/>
          </rPr>
          <t>4.3 - 172 mm
F/3.3 - 6.9
(SX720 HS)</t>
        </r>
        <r>
          <rPr>
            <sz val="8"/>
            <rFont val="Tahoma"/>
            <family val="0"/>
          </rPr>
          <t xml:space="preserve">
</t>
        </r>
      </text>
    </comment>
    <comment ref="O51" authorId="1">
      <text>
        <r>
          <rPr>
            <b/>
            <sz val="8"/>
            <rFont val="Tahoma"/>
            <family val="0"/>
          </rPr>
          <t>Comme dans les données EXIF de l'image, Nikon utilise 1.5 (par ex avec le 300mm il indique 300 et 450), j'ai aussi utilisé 1.5 dans cameras.properties.
Mais Nikon donne 1.53, cf. 
http://sn.im/dxomark-d90-d300-d7000</t>
        </r>
      </text>
    </comment>
    <comment ref="O53" authorId="1">
      <text>
        <r>
          <rPr>
            <b/>
            <sz val="8"/>
            <rFont val="Tahoma"/>
            <family val="0"/>
          </rPr>
          <t>Comme dans les données EXIF de l'image, Nikon utilise 1.5 (par ex avec le 300mm il indique 300 et 450), j'ai aussi utilisé 1.5 dans cameras.properties.
Mais Nikon donne 1.53, cf. 
http://sn.im/dxomark-d90-d300-d7000</t>
        </r>
      </text>
    </comment>
    <comment ref="AG53" authorId="2">
      <text>
        <r>
          <rPr>
            <b/>
            <sz val="9"/>
            <rFont val="Tahoma"/>
            <family val="0"/>
          </rPr>
          <t>map mini du 300mm f/4</t>
        </r>
        <r>
          <rPr>
            <sz val="9"/>
            <rFont val="Tahoma"/>
            <family val="0"/>
          </rPr>
          <t xml:space="preserve">
</t>
        </r>
      </text>
    </comment>
    <comment ref="O52" authorId="1">
      <text>
        <r>
          <rPr>
            <b/>
            <sz val="8"/>
            <rFont val="Tahoma"/>
            <family val="0"/>
          </rPr>
          <t>Comme dans les données EXIF de l'image, Nikon utilise 1.5 (par ex avec le 300mm il indique 300 et 450), j'ai aussi utilisé 1.5 dans cameras.properties.
Mais Nikon donne 1.53, cf. 
http://sn.im/dxomark-d90-d300-d7000</t>
        </r>
      </text>
    </comment>
    <comment ref="AG52" authorId="2">
      <text>
        <r>
          <rPr>
            <b/>
            <sz val="9"/>
            <rFont val="Tahoma"/>
            <family val="0"/>
          </rPr>
          <t>map mini du 300mm f/4</t>
        </r>
        <r>
          <rPr>
            <sz val="9"/>
            <rFont val="Tahoma"/>
            <family val="0"/>
          </rPr>
          <t xml:space="preserve">
</t>
        </r>
      </text>
    </comment>
    <comment ref="M53" authorId="2">
      <text>
        <r>
          <rPr>
            <b/>
            <sz val="9"/>
            <rFont val="Tahoma"/>
            <family val="0"/>
          </rPr>
          <t>300mm f/4 avec TC1.4</t>
        </r>
        <r>
          <rPr>
            <sz val="9"/>
            <rFont val="Tahoma"/>
            <family val="0"/>
          </rPr>
          <t xml:space="preserve">
</t>
        </r>
      </text>
    </comment>
    <comment ref="O60" authorId="1">
      <text>
        <r>
          <rPr>
            <b/>
            <sz val="8"/>
            <rFont val="Tahoma"/>
            <family val="0"/>
          </rPr>
          <t>Comme dans les données EXIF de l'image, Nikon utilise 1.5 (par ex avec le 300mm il indique 300 et 450), j'ai aussi utilisé 1.5 dans cameras.properties.
Mais Nikon donne 1.53, cf. 
http://sn.im/dxomark-d90-d300-d7000</t>
        </r>
      </text>
    </comment>
    <comment ref="M61" authorId="2">
      <text>
        <r>
          <rPr>
            <b/>
            <sz val="8"/>
            <rFont val="Tahoma"/>
            <family val="0"/>
          </rPr>
          <t>8.8 - 220 mm
F/2.4 - 4
(Sony RX10 IV)</t>
        </r>
        <r>
          <rPr>
            <sz val="8"/>
            <rFont val="Tahoma"/>
            <family val="0"/>
          </rPr>
          <t xml:space="preserve">
</t>
        </r>
      </text>
    </comment>
    <comment ref="P61" authorId="2">
      <text>
        <r>
          <rPr>
            <b/>
            <sz val="9"/>
            <rFont val="Tahoma"/>
            <family val="0"/>
          </rPr>
          <t>8.8 - 220 mm
F/2.4 - 4
(Sony RX10 IV)</t>
        </r>
        <r>
          <rPr>
            <sz val="9"/>
            <rFont val="Tahoma"/>
            <family val="0"/>
          </rPr>
          <t xml:space="preserve">
</t>
        </r>
      </text>
    </comment>
    <comment ref="O64" authorId="1">
      <text>
        <r>
          <rPr>
            <b/>
            <sz val="8"/>
            <rFont val="Tahoma"/>
            <family val="0"/>
          </rPr>
          <t>Comme dans les données EXIF de l'image, Nikon utilise 1.5 (par ex avec le 300mm il indique 300 et 450), j'ai aussi utilisé 1.5 dans cameras.properties.
Mais Nikon donne 1.53, cf. 
http://sn.im/dxomark-d90-d300-d7000</t>
        </r>
      </text>
    </comment>
    <comment ref="M65" authorId="2">
      <text>
        <r>
          <rPr>
            <b/>
            <sz val="8"/>
            <rFont val="Tahoma"/>
            <family val="0"/>
          </rPr>
          <t>8.8 - 220 mm
F/2.4 - 4
(Sony RX10 IV)</t>
        </r>
        <r>
          <rPr>
            <sz val="8"/>
            <rFont val="Tahoma"/>
            <family val="0"/>
          </rPr>
          <t xml:space="preserve">
</t>
        </r>
      </text>
    </comment>
    <comment ref="P65" authorId="2">
      <text>
        <r>
          <rPr>
            <b/>
            <sz val="9"/>
            <rFont val="Tahoma"/>
            <family val="0"/>
          </rPr>
          <t>8.8 - 220 mm
F/2.4 - 4
(Sony RX10 IV)</t>
        </r>
        <r>
          <rPr>
            <sz val="9"/>
            <rFont val="Tahoma"/>
            <family val="0"/>
          </rPr>
          <t xml:space="preserve">
</t>
        </r>
      </text>
    </comment>
    <comment ref="M68" authorId="2">
      <text>
        <r>
          <rPr>
            <b/>
            <sz val="8"/>
            <rFont val="Tahoma"/>
            <family val="0"/>
          </rPr>
          <t>4.3 - 150.5 mm
F/2.7 - 5.8
(SX40 HS)</t>
        </r>
        <r>
          <rPr>
            <sz val="8"/>
            <rFont val="Tahoma"/>
            <family val="0"/>
          </rPr>
          <t xml:space="preserve">
</t>
        </r>
      </text>
    </comment>
    <comment ref="M69" authorId="2">
      <text>
        <r>
          <rPr>
            <b/>
            <sz val="8"/>
            <rFont val="Tahoma"/>
            <family val="0"/>
          </rPr>
          <t>4.3 - 172 mm
F/3.3 - 6.9
(SX720 HS)</t>
        </r>
        <r>
          <rPr>
            <sz val="8"/>
            <rFont val="Tahoma"/>
            <family val="0"/>
          </rPr>
          <t xml:space="preserve">
</t>
        </r>
      </text>
    </comment>
    <comment ref="M67" authorId="2">
      <text>
        <r>
          <rPr>
            <b/>
            <sz val="8"/>
            <rFont val="Tahoma"/>
            <family val="0"/>
          </rPr>
          <t>4.3 - 357 mm
F/2.8 - 6.5
(P900)</t>
        </r>
        <r>
          <rPr>
            <sz val="8"/>
            <rFont val="Tahoma"/>
            <family val="0"/>
          </rPr>
          <t xml:space="preserve">
</t>
        </r>
      </text>
    </comment>
    <comment ref="J66" authorId="2">
      <text>
        <r>
          <rPr>
            <b/>
            <sz val="9"/>
            <rFont val="Tahoma"/>
            <family val="0"/>
          </rPr>
          <t>Selon dpreview, le capteur a 13MPx, dont 12MPx utilisés.</t>
        </r>
      </text>
    </comment>
    <comment ref="M66" authorId="2">
      <text>
        <r>
          <rPr>
            <b/>
            <sz val="8"/>
            <rFont val="Tahoma"/>
            <family val="0"/>
          </rPr>
          <t>4.5 - 108 mm
F/2.8
(FZ300)</t>
        </r>
        <r>
          <rPr>
            <sz val="8"/>
            <rFont val="Tahoma"/>
            <family val="0"/>
          </rPr>
          <t xml:space="preserve">
</t>
        </r>
      </text>
    </comment>
    <comment ref="R6" authorId="2">
      <text>
        <r>
          <rPr>
            <b/>
            <sz val="9"/>
            <rFont val="Tahoma"/>
            <family val="0"/>
          </rPr>
          <t>= "effective pixel size" on sensor, 
taking the diffraction into account, 
and assuming a perfect lens.</t>
        </r>
      </text>
    </comment>
    <comment ref="AH6" authorId="2">
      <text>
        <r>
          <rPr>
            <b/>
            <sz val="9"/>
            <rFont val="Tahoma"/>
            <family val="0"/>
          </rPr>
          <t>Dimension of the object hold in the image width</t>
        </r>
      </text>
    </comment>
    <comment ref="I70" authorId="1">
      <text>
        <r>
          <rPr>
            <b/>
            <sz val="8"/>
            <rFont val="Tahoma"/>
            <family val="0"/>
          </rPr>
          <t>En fait, il s'agit ici plutôt de la distance entre pixels, en supposant une matrice de pixels à maille carrée.</t>
        </r>
        <r>
          <rPr>
            <sz val="8"/>
            <rFont val="Tahoma"/>
            <family val="0"/>
          </rPr>
          <t xml:space="preserve">
</t>
        </r>
      </text>
    </comment>
    <comment ref="K70" authorId="2">
      <text>
        <r>
          <rPr>
            <b/>
            <sz val="8"/>
            <rFont val="Tahoma"/>
            <family val="0"/>
          </rPr>
          <t xml:space="preserve">Estimation.
Si le nombre est connu, remplacer la formule et le mettre en gras. </t>
        </r>
        <r>
          <rPr>
            <sz val="8"/>
            <rFont val="Tahoma"/>
            <family val="0"/>
          </rPr>
          <t xml:space="preserve">
</t>
        </r>
      </text>
    </comment>
    <comment ref="Q70" authorId="1">
      <text>
        <r>
          <rPr>
            <b/>
            <sz val="8"/>
            <rFont val="Tahoma"/>
            <family val="0"/>
          </rPr>
          <t xml:space="preserve">à la longueur d'onde ci-dessus. 
Le diamètre de la tache de diffraction est égal au rayon de la tache d'Airy, calculé par:
rayon = 1.22 * lambda * NO
Voir aussi:
https://www.cambridgeincolour.com/tutorials/diffraction-photography.htm
qui donne des tas de détails et une applet, mais je ne suis pas d'accord avec eux.
Ils prennent 0.55 µm et comparent le diamètre de la tache d'Airy à l'espacement des pixels.
Je prends 0.5 µm et je compare le rayon de la tache d'Airy à l'espacement des pixels.
Ca donne des résultats complètement différents (plus de 2 en linéaire et plus de 4 en surfacique).
Mais en fait cambridgeincolour.com se contredit 
- entre certains calculs où ils comparent le diamètre de de la tache d'Airy à l'espacement des pixels, 
- et leur applet ainsi que ce commentaire de leur page: 
"As a result of the sensor's anti-aliasing filter (and the Rayleigh criterion above), 
an airy disk can have a diameter of about 2-3 pixels before diffraction limits resolution 
(assuming an otherwise perfect lens). However, diffraction will likely have a visual 
impact prior to reaching this diameter."
Du coup, leur commentaire retombe en accord avec mes calculs.
Et leur applet est aussi parfaitement en accord avec mes calculs.
L'explication est que le rayon donné par la formule correspond au zéro de la fonction de Bessel,
et que la tache de diffraction est à peu près deux fois plus petite.
</t>
        </r>
      </text>
    </comment>
    <comment ref="R70" authorId="2">
      <text>
        <r>
          <rPr>
            <b/>
            <sz val="9"/>
            <rFont val="Tahoma"/>
            <family val="0"/>
          </rPr>
          <t>= "effective pixel size" on sensor, 
taking the diffraction into account, 
and assuming a perfect lens.</t>
        </r>
      </text>
    </comment>
    <comment ref="V70" authorId="2">
      <text>
        <r>
          <rPr>
            <b/>
            <sz val="9"/>
            <rFont val="Tahoma"/>
            <family val="0"/>
          </rPr>
          <t>détail visible (en mm) à la distance mentionnée ci-dessus (en m),
compte tenu de la tache de diffraction et de la taille des pixels, 
et en supposant l'optique parfaite.</t>
        </r>
      </text>
    </comment>
    <comment ref="AA70" authorId="2">
      <text>
        <r>
          <rPr>
            <b/>
            <sz val="8"/>
            <rFont val="Tahoma"/>
            <family val="0"/>
          </rPr>
          <t>On suppose que l'objet est dans le plan de l'équateur (déplacement de 360° en 24h). C'est à peu près le cas de tous les objets courants du système solaire. 
Mais pour des objets situés près de l'axe de rotation de la Terre, les déplacements tendent vers zéro.
Voir aussi :
http://www.sahavre.fr/tutoriels/astrophoto/34-regle-npf-temps-de-pose-pour-eviter-le-file-d-etoiles</t>
        </r>
        <r>
          <rPr>
            <sz val="8"/>
            <rFont val="Tahoma"/>
            <family val="0"/>
          </rPr>
          <t xml:space="preserve">
</t>
        </r>
      </text>
    </comment>
    <comment ref="AC70" authorId="1">
      <text>
        <r>
          <rPr>
            <b/>
            <sz val="8"/>
            <rFont val="Tahoma"/>
            <family val="0"/>
          </rPr>
          <t>De combien de pixels on tolère le flou?
Ce nombre est le rapport entre le diamètre du cercle de confusion et l'espacement des pixels.
Quand ce nombre vaut 3 par exemple, la tache focale s'étend sur 3 pixels en linéaire, soit quasiment 9 pixels en surface, et la résolution globale de l'image est approximativement divisée par un facteur 9.
Si on met 1, on ne tolère pas de flou de mise au point supérieur à l'espacement des pixels. Ca donne alors la plage de netteté parfaite.
Je prends par défaut la valeur utilisée par dofjs.html, mais on peut la remplacer.</t>
        </r>
      </text>
    </comment>
    <comment ref="AD70" authorId="4">
      <text>
        <r>
          <rPr>
            <b/>
            <sz val="8"/>
            <rFont val="Tahoma"/>
            <family val="2"/>
          </rPr>
          <t>Circle of Confusion used for the determination of the DoF 
and the number of Mega CoC in the image.
The default value is calculated from the one used by dofjs.html (column just after).
You can replace it by a calculation based on a number of pixels (column just before),
or you can directly put here any value that you want.
-----------------------------------------------------------
Commentaires originaux:
Diamètre du "grain" sur l'émulsion.
Standard: 0.03mm
Emulsions fines &amp; bons objectifs: 0.02mm
NOTA: les calculs de CI sont généralement faits avec 1/30=0.033mm</t>
        </r>
      </text>
    </comment>
    <comment ref="AE70" authorId="2">
      <text>
        <r>
          <rPr>
            <b/>
            <sz val="8"/>
            <rFont val="Tahoma"/>
            <family val="0"/>
          </rPr>
          <t>http://www.dofmaster.com/dofjs.html :
The circles of confusion are calculated using the formula
CoC = (CoC for 35mm format) / (Digital camera lens focal length multiplier)</t>
        </r>
        <r>
          <rPr>
            <sz val="8"/>
            <rFont val="Tahoma"/>
            <family val="0"/>
          </rPr>
          <t xml:space="preserve">
</t>
        </r>
        <r>
          <rPr>
            <b/>
            <sz val="8"/>
            <rFont val="Tahoma"/>
            <family val="2"/>
          </rPr>
          <t xml:space="preserve">
Recommandation GT: on peut prendre
CoC = 30 µm / (Digital camera lens focal length multiplier) pour un flou "standard"
CoC = 20 µm / (Digital camera lens focal length multiplier) pour un flou "moindre"
EN CLAIR: 
un CoC de 30µm en plein format, ça veut dire qu'on met 1200 taches de diffraction dans la largeur de l'image (36mm)
un CoC de 20µm en plein format, ça veut dire qu'on met 1800 taches de diffraction dans la largeur de l'image (36mm)</t>
        </r>
      </text>
    </comment>
    <comment ref="AF70" authorId="4">
      <text>
        <r>
          <rPr>
            <b/>
            <sz val="8"/>
            <rFont val="Tahoma"/>
            <family val="2"/>
          </rPr>
          <t>Distance de mise au point donnant la plus grande profondeur de champ, avec netteté à l'infini.
NOTA: en suivant CI241, 3/02, p.98, on peut calculer pour chaque objectif un nombre K (à noter sur l'objectif), qu'il suffit de diviser par l'ouverture pour obtenir l'hyperfocale.</t>
        </r>
      </text>
    </comment>
    <comment ref="AH70" authorId="2">
      <text>
        <r>
          <rPr>
            <b/>
            <sz val="9"/>
            <rFont val="Tahoma"/>
            <family val="0"/>
          </rPr>
          <t>Dimension of the object hold in the image width</t>
        </r>
      </text>
    </comment>
    <comment ref="AL70" authorId="4">
      <text>
        <r>
          <rPr>
            <b/>
            <sz val="8"/>
            <rFont val="Tahoma"/>
            <family val="2"/>
          </rPr>
          <t>Si le film a des défauts de planéité supérieurs à ± la valeur calculée, l'image sera floue.
Nota: le calcul est pessimiste car fait pour une mise au point à l'infini. A courte distance, le défaut de planéité tolérable est supérieur à la valeur calculée.</t>
        </r>
      </text>
    </comment>
    <comment ref="AO70" authorId="2">
      <text>
        <r>
          <rPr>
            <b/>
            <sz val="8"/>
            <rFont val="Tahoma"/>
            <family val="0"/>
          </rPr>
          <t>Million of diffraction spots in the image</t>
        </r>
      </text>
    </comment>
    <comment ref="AQ70" authorId="2">
      <text>
        <r>
          <rPr>
            <b/>
            <sz val="8"/>
            <rFont val="Tahoma"/>
            <family val="0"/>
          </rPr>
          <t>Number of confusion circles in the image.
Nombre de mégapixels effectifs dans l'image quand on est à la limite du flou, 
calculé selon: 
(largeur capteur / cercle de confusion) * (hauteur capteur / cercle de confusion).</t>
        </r>
        <r>
          <rPr>
            <sz val="8"/>
            <rFont val="Tahoma"/>
            <family val="0"/>
          </rPr>
          <t xml:space="preserve">
</t>
        </r>
      </text>
    </comment>
    <comment ref="C25" authorId="2">
      <text>
        <r>
          <rPr>
            <b/>
            <sz val="9"/>
            <rFont val="Tahoma"/>
            <family val="0"/>
          </rPr>
          <t>capteur Sony imx542</t>
        </r>
      </text>
    </comment>
    <comment ref="J15" authorId="2">
      <text>
        <r>
          <rPr>
            <b/>
            <sz val="9"/>
            <rFont val="Tahoma"/>
            <family val="0"/>
          </rPr>
          <t>Selon dpreview, le capteur a 22MPx, dont 21MPx utilisés.</t>
        </r>
        <r>
          <rPr>
            <sz val="9"/>
            <rFont val="Tahoma"/>
            <family val="0"/>
          </rPr>
          <t xml:space="preserve">
</t>
        </r>
      </text>
    </comment>
  </commentList>
</comments>
</file>

<file path=xl/comments4.xml><?xml version="1.0" encoding="utf-8"?>
<comments xmlns="http://schemas.openxmlformats.org/spreadsheetml/2006/main">
  <authors>
    <author>tayeb</author>
    <author>gt</author>
  </authors>
  <commentList>
    <comment ref="F6" authorId="0">
      <text>
        <r>
          <rPr>
            <b/>
            <sz val="8"/>
            <rFont val="Tahoma"/>
            <family val="0"/>
          </rPr>
          <t>flash intégré au Nikon D90
NG 12 pour 100 iso</t>
        </r>
        <r>
          <rPr>
            <sz val="8"/>
            <rFont val="Tahoma"/>
            <family val="0"/>
          </rPr>
          <t xml:space="preserve">
</t>
        </r>
      </text>
    </comment>
    <comment ref="D6" authorId="1">
      <text>
        <r>
          <rPr>
            <b/>
            <sz val="8"/>
            <rFont val="Tahoma"/>
            <family val="0"/>
          </rPr>
          <t xml:space="preserve">Olympus T32
NG 32 pour 100 asa en position grand angle (couverture 24mm)
</t>
        </r>
        <r>
          <rPr>
            <sz val="8"/>
            <rFont val="Tahoma"/>
            <family val="2"/>
          </rPr>
          <t xml:space="preserve">
http://www.mir.com.my/rb/photography/hardwares/classics/olympusom1n2/shared/flash/t32flash/index.htm
</t>
        </r>
      </text>
    </comment>
    <comment ref="G7" authorId="1">
      <text>
        <r>
          <rPr>
            <b/>
            <sz val="8"/>
            <rFont val="Tahoma"/>
            <family val="0"/>
          </rPr>
          <t>flash Nikon SB-600
NG 14 à 100 iso pour couverture 24mm + diffuseur
NG 26 à 100 iso pour couverture 24mm
NG 30 à 100 iso pour couverture 35mm
NG 40 à 100 iso pour couverture 85mm</t>
        </r>
        <r>
          <rPr>
            <sz val="8"/>
            <rFont val="Tahoma"/>
            <family val="0"/>
          </rPr>
          <t xml:space="preserve">
</t>
        </r>
      </text>
    </comment>
    <comment ref="A10" authorId="1">
      <text>
        <r>
          <rPr>
            <b/>
            <sz val="8"/>
            <rFont val="Tahoma"/>
            <family val="0"/>
          </rPr>
          <t>1 = pleine puissance
1/2 = moitié
etc...</t>
        </r>
        <r>
          <rPr>
            <sz val="8"/>
            <rFont val="Tahoma"/>
            <family val="0"/>
          </rPr>
          <t xml:space="preserve">
</t>
        </r>
      </text>
    </comment>
    <comment ref="A9" authorId="1">
      <text>
        <r>
          <rPr>
            <b/>
            <sz val="8"/>
            <rFont val="Tahoma"/>
            <family val="0"/>
          </rPr>
          <t>Valeur en ISO pour laquelle le NG du flash est donné (généralement 100 ISO)</t>
        </r>
      </text>
    </comment>
    <comment ref="A7" authorId="1">
      <text>
        <r>
          <rPr>
            <b/>
            <sz val="8"/>
            <rFont val="Tahoma"/>
            <family val="0"/>
          </rPr>
          <t>NG du flash, avec les distances exprimées en mètres</t>
        </r>
        <r>
          <rPr>
            <sz val="8"/>
            <rFont val="Tahoma"/>
            <family val="0"/>
          </rPr>
          <t xml:space="preserve">
</t>
        </r>
      </text>
    </comment>
    <comment ref="A8" authorId="1">
      <text>
        <r>
          <rPr>
            <b/>
            <sz val="8"/>
            <rFont val="Tahoma"/>
            <family val="2"/>
          </rPr>
          <t>Valeur du NG en pieds, pour info et comparaison avec certaines valeurs des forums anglophones</t>
        </r>
      </text>
    </comment>
    <comment ref="H6" authorId="0">
      <text>
        <r>
          <rPr>
            <b/>
            <sz val="9"/>
            <rFont val="Tahoma"/>
            <family val="0"/>
          </rPr>
          <t xml:space="preserve">D'après 
https://www.sony.fr/electronics/appareils-photo-cyber-shot-compacts/dsc-rx10m4/specifications
PORTÉE DU FLASH:
ISO auto : de 1 m à 10,8 m env. (grand angle) / de 1 m à 6,5 m (téléobjectif) 
ISO 12800 : jusqu'à env. 20,8 m (grand angle) / env. 12,8 m (téléobjectif)
</t>
        </r>
        <r>
          <rPr>
            <sz val="9"/>
            <rFont val="Tahoma"/>
            <family val="0"/>
          </rPr>
          <t xml:space="preserve">
</t>
        </r>
      </text>
    </comment>
  </commentList>
</comments>
</file>

<file path=xl/comments5.xml><?xml version="1.0" encoding="utf-8"?>
<comments xmlns="http://schemas.openxmlformats.org/spreadsheetml/2006/main">
  <authors>
    <author>gt</author>
  </authors>
  <commentList>
    <comment ref="A59" authorId="0">
      <text>
        <r>
          <rPr>
            <b/>
            <sz val="8"/>
            <rFont val="Tahoma"/>
            <family val="0"/>
          </rPr>
          <t>en valeurs relatives</t>
        </r>
        <r>
          <rPr>
            <sz val="8"/>
            <rFont val="Tahoma"/>
            <family val="0"/>
          </rPr>
          <t xml:space="preserve">
</t>
        </r>
      </text>
    </comment>
  </commentList>
</comments>
</file>

<file path=xl/comments7.xml><?xml version="1.0" encoding="utf-8"?>
<comments xmlns="http://schemas.openxmlformats.org/spreadsheetml/2006/main">
  <authors>
    <author>tayeb</author>
  </authors>
  <commentList>
    <comment ref="G2" authorId="0">
      <text>
        <r>
          <rPr>
            <b/>
            <sz val="9"/>
            <rFont val="Tahoma"/>
            <family val="0"/>
          </rPr>
          <t>luminance (en cd/m²) de la source que vise l'appareil photo</t>
        </r>
      </text>
    </comment>
    <comment ref="H2" authorId="0">
      <text>
        <r>
          <rPr>
            <b/>
            <sz val="9"/>
            <rFont val="Tahoma"/>
            <family val="0"/>
          </rPr>
          <t>Correction d'exposition éventuelle en diaph. 
Par exemple +1/3 pour une surexposition d'un tiers de diaph</t>
        </r>
      </text>
    </comment>
    <comment ref="I2" authorId="0">
      <text>
        <r>
          <rPr>
            <b/>
            <sz val="9"/>
            <rFont val="Tahoma"/>
            <family val="0"/>
          </rPr>
          <t>luminance moyenne de la scène compte tenu de la correction d'exposition</t>
        </r>
        <r>
          <rPr>
            <sz val="9"/>
            <rFont val="Tahoma"/>
            <family val="0"/>
          </rPr>
          <t xml:space="preserve">
</t>
        </r>
      </text>
    </comment>
    <comment ref="J2" authorId="0">
      <text>
        <r>
          <rPr>
            <b/>
            <sz val="9"/>
            <rFont val="Tahoma"/>
            <family val="0"/>
          </rPr>
          <t>différence de mesure d'exposition, en unité de diaphragme. Autrement dit
 -1 = sous-exposition de 1 diaphragme</t>
        </r>
        <r>
          <rPr>
            <sz val="9"/>
            <rFont val="Tahoma"/>
            <family val="0"/>
          </rPr>
          <t xml:space="preserve">
</t>
        </r>
      </text>
    </comment>
  </commentList>
</comments>
</file>

<file path=xl/comments8.xml><?xml version="1.0" encoding="utf-8"?>
<comments xmlns="http://schemas.openxmlformats.org/spreadsheetml/2006/main">
  <authors>
    <author>gt</author>
  </authors>
  <commentList>
    <comment ref="G2" authorId="0">
      <text>
        <r>
          <rPr>
            <b/>
            <sz val="8"/>
            <rFont val="Tahoma"/>
            <family val="0"/>
          </rPr>
          <t>proportion (linéaire) de la portion de l'image qu'on conserve</t>
        </r>
        <r>
          <rPr>
            <sz val="8"/>
            <rFont val="Tahoma"/>
            <family val="0"/>
          </rPr>
          <t xml:space="preserve">
</t>
        </r>
      </text>
    </comment>
  </commentList>
</comments>
</file>

<file path=xl/comments9.xml><?xml version="1.0" encoding="utf-8"?>
<comments xmlns="http://schemas.openxmlformats.org/spreadsheetml/2006/main">
  <authors>
    <author>tayeb</author>
  </authors>
  <commentList>
    <comment ref="C1" authorId="0">
      <text>
        <r>
          <rPr>
            <b/>
            <sz val="9"/>
            <rFont val="Tahoma"/>
            <family val="0"/>
          </rPr>
          <t>valeurs calculées</t>
        </r>
        <r>
          <rPr>
            <sz val="9"/>
            <rFont val="Tahoma"/>
            <family val="0"/>
          </rPr>
          <t xml:space="preserve">
</t>
        </r>
      </text>
    </comment>
  </commentList>
</comments>
</file>

<file path=xl/sharedStrings.xml><?xml version="1.0" encoding="utf-8"?>
<sst xmlns="http://schemas.openxmlformats.org/spreadsheetml/2006/main" count="603" uniqueCount="370">
  <si>
    <t>Voir aussi le programme écrit pour la calculatrice HP</t>
  </si>
  <si>
    <t>NOTA: quand la mise au point est réalisée sur l'hyperfocale H, la netteté s'étend de H/2 à l'infini</t>
  </si>
  <si>
    <t>Focale (mm)</t>
  </si>
  <si>
    <t>Ouverture</t>
  </si>
  <si>
    <t>Cercle de confusion (mm)</t>
  </si>
  <si>
    <t>Hyperfocale (m)</t>
  </si>
  <si>
    <t>Distance de mise au point (m)</t>
  </si>
  <si>
    <t>Limites de netteté (m)</t>
  </si>
  <si>
    <t>Profondeur de champ (m)</t>
  </si>
  <si>
    <t>Défaut de planéité max du film (mm)</t>
  </si>
  <si>
    <t>Focale</t>
  </si>
  <si>
    <t>Format</t>
  </si>
  <si>
    <t>Diagonale d'image (mm)</t>
  </si>
  <si>
    <t>24 x 36</t>
  </si>
  <si>
    <t>APS C</t>
  </si>
  <si>
    <t>APS H</t>
  </si>
  <si>
    <t>CCD 1/3"</t>
  </si>
  <si>
    <t>CCD 1/4"</t>
  </si>
  <si>
    <t>Nombre Guide:</t>
  </si>
  <si>
    <t>NG = D x f    , avec D en mètres, f = ouverture</t>
  </si>
  <si>
    <t>Calcul de l'ouverture:</t>
  </si>
  <si>
    <t>Sensibilité film (iso)</t>
  </si>
  <si>
    <t>distance D (m)</t>
  </si>
  <si>
    <t>D'après CI193, 5/97, p.72</t>
  </si>
  <si>
    <t>lum: luminance, candela/m², (peu importe si ln ou log10 pour le calcul de LL)</t>
  </si>
  <si>
    <t>IL/EV = LL + 3</t>
  </si>
  <si>
    <t>Indice de lumination</t>
  </si>
  <si>
    <t>tps: temps de pose en seconde</t>
  </si>
  <si>
    <t>ISO: sensibilité de la pellicule (par ex 100 pour 100 ISO)</t>
  </si>
  <si>
    <t>Tableau donnant les temps d'exposition en secondes:</t>
  </si>
  <si>
    <t>Sensibilité ISO</t>
  </si>
  <si>
    <t>Luminance candela/m²</t>
  </si>
  <si>
    <t>LL</t>
  </si>
  <si>
    <t>IL/EV</t>
  </si>
  <si>
    <t>Largeur</t>
  </si>
  <si>
    <t>Hauteur</t>
  </si>
  <si>
    <t>cm</t>
  </si>
  <si>
    <t>dpi</t>
  </si>
  <si>
    <t>pixels</t>
  </si>
  <si>
    <t>taille fichier en pixels</t>
  </si>
  <si>
    <t>taille fichier en octets</t>
  </si>
  <si>
    <t>D'un point de vue mnémotechnique, à 300dpi, en divisant le nombre de pixel par 100, on obtient à peu près la taille de l'image en cm:</t>
  </si>
  <si>
    <t>une image 640 x 480 pixels donnera une très belle image 6.4 x 4.8 cm</t>
  </si>
  <si>
    <t>D'après Chasseur d'Images, une résolution d'impression de 150 à 200 dpi suffit (300dpi pour les dernières imprimantes en 05/00).</t>
  </si>
  <si>
    <t>Rapports largeur/hauteur</t>
  </si>
  <si>
    <t>Ecrans</t>
  </si>
  <si>
    <t>Photo argentique</t>
  </si>
  <si>
    <t>Photo numérique</t>
  </si>
  <si>
    <t>Résolution</t>
  </si>
  <si>
    <t>Pixels_x</t>
  </si>
  <si>
    <t>Pixels_y</t>
  </si>
  <si>
    <t>Appareil</t>
  </si>
  <si>
    <t>Nikon 990</t>
  </si>
  <si>
    <t>image_y</t>
  </si>
  <si>
    <t>image_x</t>
  </si>
  <si>
    <t>Webcam</t>
  </si>
  <si>
    <t>2 Mpixels</t>
  </si>
  <si>
    <t>4 Mpixels</t>
  </si>
  <si>
    <t>Pour essais</t>
  </si>
  <si>
    <t>5 Mpixels</t>
  </si>
  <si>
    <t>Fuji FinePix S2 Pro</t>
  </si>
  <si>
    <t>Canon EOS D60</t>
  </si>
  <si>
    <t>Nbre pixels</t>
  </si>
  <si>
    <t>un 3 Mpixels 1536x2048 pixels donnera une très belle image 15 x 20 cm</t>
  </si>
  <si>
    <t>Comparaison avec un appareil argentique; évaluation du nombre de pixels équivalents:</t>
  </si>
  <si>
    <t>Côté (mm)</t>
  </si>
  <si>
    <t>Nbre pixels sur le côté</t>
  </si>
  <si>
    <t>1/2.7"</t>
  </si>
  <si>
    <t>7 Mpixels</t>
  </si>
  <si>
    <t>2/3"</t>
  </si>
  <si>
    <t>1/1.8"</t>
  </si>
  <si>
    <t>1.30 - 1.77</t>
  </si>
  <si>
    <t>0.85 - 6.66</t>
  </si>
  <si>
    <t>24x36</t>
  </si>
  <si>
    <t>bridge</t>
  </si>
  <si>
    <t>Influence de la réduction de taille</t>
  </si>
  <si>
    <t>l / h</t>
  </si>
  <si>
    <t>1/2.33"</t>
  </si>
  <si>
    <t>Calcul de la luminance à partir des données "photo":</t>
  </si>
  <si>
    <t>NO</t>
  </si>
  <si>
    <t>iso</t>
  </si>
  <si>
    <t>tps (s)</t>
  </si>
  <si>
    <t>lum (cd/m²) :</t>
  </si>
  <si>
    <t>diaph = NO = nombre d'ouverture (par ex à f/8, diaph = 8)</t>
  </si>
  <si>
    <t>lambda (µm)</t>
  </si>
  <si>
    <t>hauteur (mm)</t>
  </si>
  <si>
    <t>largeur (mm)</t>
  </si>
  <si>
    <t>4/3 et micro 4/3</t>
  </si>
  <si>
    <t>D90</t>
  </si>
  <si>
    <t>SB-600</t>
  </si>
  <si>
    <t>Commentaire</t>
  </si>
  <si>
    <t>xxx</t>
  </si>
  <si>
    <t>Nikon D90</t>
  </si>
  <si>
    <t>Limites de netteté min (m)</t>
  </si>
  <si>
    <t>Limites de netteté max (m)</t>
  </si>
  <si>
    <t>nikon 990</t>
  </si>
  <si>
    <t>SP-570UZ</t>
  </si>
  <si>
    <t>focales min-max (mm)</t>
  </si>
  <si>
    <t>8 - 24</t>
  </si>
  <si>
    <t>4.6 - 92</t>
  </si>
  <si>
    <t>Focale (eq. 24x36)</t>
  </si>
  <si>
    <t>Ratio</t>
  </si>
  <si>
    <t>Crop</t>
  </si>
  <si>
    <t>Taille</t>
  </si>
  <si>
    <t>x</t>
  </si>
  <si>
    <t>y</t>
  </si>
  <si>
    <t>paysage</t>
  </si>
  <si>
    <t>central</t>
  </si>
  <si>
    <t>Calculette pour centrer des crops avec Irfanview</t>
  </si>
  <si>
    <t>Start</t>
  </si>
  <si>
    <t>Left top</t>
  </si>
  <si>
    <t>haut gauche</t>
  </si>
  <si>
    <t>Rajouter des lignes en fonction des besoins, en s'inspirant des précédentes</t>
  </si>
  <si>
    <t>http://www.dofmaster.com/dofjs.html</t>
  </si>
  <si>
    <t>http://www.edgar-bonet.org/physique/pdc/</t>
  </si>
  <si>
    <t>Cercle de confusion utilisé par dofjs.html</t>
  </si>
  <si>
    <t>Diagonale capteur (mm)</t>
  </si>
  <si>
    <t>MPixels</t>
  </si>
  <si>
    <t>largeur capteur (mm)</t>
  </si>
  <si>
    <t>hauteur capteur</t>
  </si>
  <si>
    <t>Tableau donnant l'hyperfocale en fonction de l'ouverture et de la focale, pour le cercle de confusion défini ci-dessous:</t>
  </si>
  <si>
    <t>Cercle de confusion (mm) :</t>
  </si>
  <si>
    <t>Pour un résumé des grandeurs photométriques:</t>
  </si>
  <si>
    <t>http://fr.wikibooks.org/wiki/Photographie/Photom%C3%A9trie/Grandeurs_lumineuses_et_unit%C3%A9s_photom%C3%A9triques</t>
  </si>
  <si>
    <t>T32</t>
  </si>
  <si>
    <t>http://fr.wikipedia.org/wiki/Cercle_de_confusion</t>
  </si>
  <si>
    <t>Une excellente représentation est proposée par chelmimage sur ce post : http://www.chassimages.com/forum/index.php/topic,82898.0.html</t>
  </si>
  <si>
    <t>Calculs détaillés: http://www.edgar-bonet.org/physique/pdc/</t>
  </si>
  <si>
    <t>date achat</t>
  </si>
  <si>
    <t>capacité</t>
  </si>
  <si>
    <t>modèle</t>
  </si>
  <si>
    <t xml:space="preserve">Transcend </t>
  </si>
  <si>
    <t>4 GB</t>
  </si>
  <si>
    <t>SD HC class 6</t>
  </si>
  <si>
    <t>SD HC 15 MB/s</t>
  </si>
  <si>
    <t>8 GB</t>
  </si>
  <si>
    <t>TZ7</t>
  </si>
  <si>
    <t>SanDisk Extreme III</t>
  </si>
  <si>
    <t>SD HC 30 MB/s</t>
  </si>
  <si>
    <t>Les données modifiables sont en gras</t>
  </si>
  <si>
    <t>champ horizontal en degrés</t>
  </si>
  <si>
    <t>Durée d'exposition (s)</t>
  </si>
  <si>
    <t>Déplacement en pixels d'un objet céleste</t>
  </si>
  <si>
    <t>nbre de pixels horizontaux</t>
  </si>
  <si>
    <t>appareil</t>
  </si>
  <si>
    <t>Coolpix 990</t>
  </si>
  <si>
    <t>SP-570 UZ</t>
  </si>
  <si>
    <t>EOS-1Ds</t>
  </si>
  <si>
    <t>A70</t>
  </si>
  <si>
    <t>Nikon D7000</t>
  </si>
  <si>
    <t>Colonnes pour calculs temporaires et comparaisons</t>
  </si>
  <si>
    <t>Vitesse</t>
  </si>
  <si>
    <t xml:space="preserve">Lire: </t>
  </si>
  <si>
    <t>http://fr.wikipedia.org/wiki/Carte_SD</t>
  </si>
  <si>
    <t>16 GB</t>
  </si>
  <si>
    <t>SD HC class 10</t>
  </si>
  <si>
    <t>18 MB/s</t>
  </si>
  <si>
    <t>D7000</t>
  </si>
  <si>
    <t>rafale RAW</t>
  </si>
  <si>
    <t>débit en rafale (Mo/s)</t>
  </si>
  <si>
    <t>rafale JPEG</t>
  </si>
  <si>
    <t>plus de 30</t>
  </si>
  <si>
    <t>Récapitulatif de mes cartes mémoire</t>
  </si>
  <si>
    <t>Ridata</t>
  </si>
  <si>
    <t>256 MB</t>
  </si>
  <si>
    <t>A95</t>
  </si>
  <si>
    <t>CompactFlash</t>
  </si>
  <si>
    <t>Sandisk</t>
  </si>
  <si>
    <t>32 MB</t>
  </si>
  <si>
    <t>E990</t>
  </si>
  <si>
    <t xml:space="preserve">Canon </t>
  </si>
  <si>
    <t>512 MB</t>
  </si>
  <si>
    <t>15 MB/s</t>
  </si>
  <si>
    <t>30 MB/s</t>
  </si>
  <si>
    <t>Kingston SD10/16GB</t>
  </si>
  <si>
    <t>Focal length multiplier</t>
  </si>
  <si>
    <t>Canon 350D</t>
  </si>
  <si>
    <t>350D, 450D</t>
  </si>
  <si>
    <t>localisation</t>
  </si>
  <si>
    <t>Kingston</t>
  </si>
  <si>
    <t>en macro</t>
  </si>
  <si>
    <t>D90,D200,D80</t>
  </si>
  <si>
    <t>taille du capteur</t>
  </si>
  <si>
    <t>Cercle de confusion utilisé ici (en pixels)</t>
  </si>
  <si>
    <t>Cercle de confusion utilisé ici (en mm)</t>
  </si>
  <si>
    <t>Transcend Ultimate</t>
  </si>
  <si>
    <t>20 MB/s</t>
  </si>
  <si>
    <t>Repère</t>
  </si>
  <si>
    <t>A4</t>
  </si>
  <si>
    <t>B16</t>
  </si>
  <si>
    <t>http://tayeb.fr/bricbrac/bricbrac.htm</t>
  </si>
  <si>
    <t>Integral Ultima Pro</t>
  </si>
  <si>
    <t>A8</t>
  </si>
  <si>
    <t>Fred</t>
  </si>
  <si>
    <t>A16</t>
  </si>
  <si>
    <t>B8</t>
  </si>
  <si>
    <t>C16</t>
  </si>
  <si>
    <t>Florence</t>
  </si>
  <si>
    <t>Conversion d'un rapport de luminosité en une différence d'IL (ou "crans" de diaphragme):</t>
  </si>
  <si>
    <t>supérieure</t>
  </si>
  <si>
    <t>inférieure</t>
  </si>
  <si>
    <t>Luminosités</t>
  </si>
  <si>
    <t>différence d'IL</t>
  </si>
  <si>
    <t>Nikon D3</t>
  </si>
  <si>
    <t>FX</t>
  </si>
  <si>
    <t>Canon EOS 7D</t>
  </si>
  <si>
    <t>Transcend 120x</t>
  </si>
  <si>
    <t>2 GB</t>
  </si>
  <si>
    <t>SanDisk Extreme 200x</t>
  </si>
  <si>
    <t>Canon SX40 HS</t>
  </si>
  <si>
    <t>SX40 HS</t>
  </si>
  <si>
    <t>4.3 - 150.5</t>
  </si>
  <si>
    <t>espacement des pixels (mm)</t>
  </si>
  <si>
    <t>SX40 HS gérard</t>
  </si>
  <si>
    <t>Puissance</t>
  </si>
  <si>
    <t>NG en feet</t>
  </si>
  <si>
    <t>NG (en m,pour xxx iso)</t>
  </si>
  <si>
    <t xml:space="preserve">cf. </t>
  </si>
  <si>
    <t>http://www.conservationphysics.org/lightmtr/luxmtr1.php</t>
  </si>
  <si>
    <t>qui donne une procédure de mesure complète, ainsi que la déduction des lux</t>
  </si>
  <si>
    <t>Donne la luminance (en cd/m²) de la source que vise l'appareil photo (formule identique à la précédente)</t>
  </si>
  <si>
    <t>Donne l'éclairement (en lux) d'une feuille de papier blanc mat que vise l'appareil photo (pi fois la valeur de la luminance)</t>
  </si>
  <si>
    <t>Conservation physics_ Using a camera as a lux meter.mht</t>
  </si>
  <si>
    <t>ouverture</t>
  </si>
  <si>
    <t>Samsung GX-20</t>
  </si>
  <si>
    <t>D800</t>
  </si>
  <si>
    <t>Nikon D7100</t>
  </si>
  <si>
    <t>D7100</t>
  </si>
  <si>
    <t>Sandisk Extreme Pro UHS-I</t>
  </si>
  <si>
    <t>95 MB/s</t>
  </si>
  <si>
    <t>32 GB</t>
  </si>
  <si>
    <t>Transcend UHS-I 600X</t>
  </si>
  <si>
    <t>46 MB/s</t>
  </si>
  <si>
    <t>B32</t>
  </si>
  <si>
    <t>B4</t>
  </si>
  <si>
    <t>rafale</t>
  </si>
  <si>
    <t>SanDisk Ultra II, classe 2</t>
  </si>
  <si>
    <t>donnée à Maguy</t>
  </si>
  <si>
    <t>Transcend UHS-I 300x</t>
  </si>
  <si>
    <t>45 MB/s</t>
  </si>
  <si>
    <t>réserve</t>
  </si>
  <si>
    <t xml:space="preserve">piège photo Bushnell </t>
  </si>
  <si>
    <t>SanDisk Extreme UHS-I U3</t>
  </si>
  <si>
    <t>60 MB/s</t>
  </si>
  <si>
    <t>SanDisk Extreme 300x</t>
  </si>
  <si>
    <t>rafale 1</t>
  </si>
  <si>
    <t>rafale 2</t>
  </si>
  <si>
    <t>Nikon D610</t>
  </si>
  <si>
    <t>Nikon D800,D810</t>
  </si>
  <si>
    <t>???</t>
  </si>
  <si>
    <t>SD</t>
  </si>
  <si>
    <t>Toshiba</t>
  </si>
  <si>
    <t>1 GB</t>
  </si>
  <si>
    <t>LZ7 en réserve</t>
  </si>
  <si>
    <t>G16</t>
  </si>
  <si>
    <t>H16</t>
  </si>
  <si>
    <t>F16</t>
  </si>
  <si>
    <t>Résolution angulaire</t>
  </si>
  <si>
    <t>Pour la tache de diffraction</t>
  </si>
  <si>
    <t>en seconde d'angle</t>
  </si>
  <si>
    <t>Nikon D4</t>
  </si>
  <si>
    <t>IL/EV :</t>
  </si>
  <si>
    <t>Calculatrice pour le crop de photos à 16 M pixels, afin que Google Photos ne les redimensionne pas.</t>
  </si>
  <si>
    <t>Pixels</t>
  </si>
  <si>
    <t>Nombres d'ouverture</t>
  </si>
  <si>
    <t>SanDisk Ultra SDXC UHS-I</t>
  </si>
  <si>
    <t>64 GB</t>
  </si>
  <si>
    <t>48 MB/s</t>
  </si>
  <si>
    <t>C32</t>
  </si>
  <si>
    <t>1/3.06"</t>
  </si>
  <si>
    <t>smartphones</t>
  </si>
  <si>
    <t>Canon SX700 HS</t>
  </si>
  <si>
    <t>Coolpix P900</t>
  </si>
  <si>
    <t>SX720 HS</t>
  </si>
  <si>
    <t>4/3</t>
  </si>
  <si>
    <t>GH5</t>
  </si>
  <si>
    <t>Canon SX720 HS</t>
  </si>
  <si>
    <t>Canon SX70 HS</t>
  </si>
  <si>
    <t>Lumix FZ300</t>
  </si>
  <si>
    <t>Lumix FZ80/FZ82</t>
  </si>
  <si>
    <t>1"</t>
  </si>
  <si>
    <t>Lumix FZ2000</t>
  </si>
  <si>
    <t>Nikon D500</t>
  </si>
  <si>
    <t>D500</t>
  </si>
  <si>
    <t>distance (m)</t>
  </si>
  <si>
    <t>détail visible (mm) à la distance ci-dessus</t>
  </si>
  <si>
    <t>tri</t>
  </si>
  <si>
    <t>Sony RX10 IV</t>
  </si>
  <si>
    <t>APS</t>
  </si>
  <si>
    <t>La profondeur de champ ne dépend que du diamètre de la pupille d'entrée !</t>
  </si>
  <si>
    <t>Exposition</t>
  </si>
  <si>
    <t>photo</t>
  </si>
  <si>
    <t>date</t>
  </si>
  <si>
    <t>vitesse (s)</t>
  </si>
  <si>
    <t>luminance cd/m²</t>
  </si>
  <si>
    <t>correction</t>
  </si>
  <si>
    <t>nikon</t>
  </si>
  <si>
    <t>canon</t>
  </si>
  <si>
    <t>écart</t>
  </si>
  <si>
    <t>i64</t>
  </si>
  <si>
    <t>Profondeur de champ des objectifs (CI183, 5/96, p.71 - CI198, 11/97, p.99 - CI438, 04/22, p.60)</t>
  </si>
  <si>
    <t>EOS 7D</t>
  </si>
  <si>
    <t>RX10</t>
  </si>
  <si>
    <t>8.8 - 220</t>
  </si>
  <si>
    <t>Plan</t>
  </si>
  <si>
    <t>Focus</t>
  </si>
  <si>
    <t>Défaut de planéité max du film (µm)</t>
  </si>
  <si>
    <t>diffraction spots in image width</t>
  </si>
  <si>
    <t>confusion circles in image width</t>
  </si>
  <si>
    <t>Mega diffraction spots in image</t>
  </si>
  <si>
    <t>field width (m)</t>
  </si>
  <si>
    <t>diam. of the entry pupil (mm)</t>
  </si>
  <si>
    <t>Comme dans presque toutes mes feuilles, les valeurs prévues pour être modifiées sont en gras. On peut replier les niveaux de plan avec les icônes situées en haut de la feuille.</t>
  </si>
  <si>
    <t>distance m</t>
  </si>
  <si>
    <t>champ horizontal à la dist. ci-dessus (m)</t>
  </si>
  <si>
    <t>CoC = Circle of Confusion used here (in pixels)</t>
  </si>
  <si>
    <t>CoC = Circle of Confusion used here (in µm)</t>
  </si>
  <si>
    <t>Mega CoC in image</t>
  </si>
  <si>
    <t>Max distance giving the CoC (m)</t>
  </si>
  <si>
    <t>Min distance giving the CoC (m)</t>
  </si>
  <si>
    <t>DoF = Profondeur de champ (m)</t>
  </si>
  <si>
    <t>diamètre de la tache de diffraction (µm)</t>
  </si>
  <si>
    <t>image resolution on sensor (µm)</t>
  </si>
  <si>
    <t>Mega effective pixels in focus</t>
  </si>
  <si>
    <t>Image</t>
  </si>
  <si>
    <t>Data</t>
  </si>
  <si>
    <t>User</t>
  </si>
  <si>
    <t>Calculatrice photo</t>
  </si>
  <si>
    <t>The original data are above. Below you can paste lines from above, for instance if you want to compare some configurations or make some tests.</t>
  </si>
  <si>
    <t>taille moyenne des pixels (µm)</t>
  </si>
  <si>
    <t>nombre de pixels</t>
  </si>
  <si>
    <t>equiv. focal 24x36 (mm)</t>
  </si>
  <si>
    <t>Use in macro: some typical configurations. It gives the DoF and the size of the image in apparent Mega "CoC" for the sharp image (in focus). (Fold plane level "Data" for nicer view)</t>
  </si>
  <si>
    <t>µm of the object / effective pixel</t>
  </si>
  <si>
    <t>Par pixel effectif</t>
  </si>
  <si>
    <t>Par pixel</t>
  </si>
  <si>
    <t>SDXC class 10</t>
  </si>
  <si>
    <t>SanDisk SDXC Extreme PRO, 170 Mo/s, V30, UHS-I, U3</t>
  </si>
  <si>
    <t>128 GB</t>
  </si>
  <si>
    <t>170 MB/s</t>
  </si>
  <si>
    <t>Sony RX10</t>
  </si>
  <si>
    <t>1.1"</t>
  </si>
  <si>
    <t>imx542</t>
  </si>
  <si>
    <t>Size of sensor does not change depth of field in macro: for same equivalent focal, same blur from diffraction (diffraction spots in image width), the two cameras frame the same field at the same distance, and have the same depth of field: (Fold outline level "Data" for nicer view)</t>
  </si>
  <si>
    <t>La profondeur de champ ne dépend que du diamètre de la pupille d'entrée ! Same equivalent focals give same framing. In that case, the depth of field only depends on the diameter of the entry pupil : (Fold outline level "Data" for nicer view)</t>
  </si>
  <si>
    <t>Best camera for telephoto ? The Coolpix P900 has a huge focal but does not give more details than the RX10. The field of view is 3.3 times less, and the number of effective pixels in the image is about 3.3**2 less (not exactly since the image has not the same width/height ratio). (Fold outline level "Data" for nicer view)</t>
  </si>
  <si>
    <t>standard</t>
  </si>
  <si>
    <t>Quelques expositions de base pour les photos d'espace</t>
  </si>
  <si>
    <t>Objet</t>
  </si>
  <si>
    <t>lum (cd/m²)</t>
  </si>
  <si>
    <t>IL / EV</t>
  </si>
  <si>
    <t>commentaire</t>
  </si>
  <si>
    <t>Lune</t>
  </si>
  <si>
    <t>Jupiter</t>
  </si>
  <si>
    <t>Jupiter (satellites)</t>
  </si>
  <si>
    <t>Saturne</t>
  </si>
  <si>
    <t>Vénus</t>
  </si>
  <si>
    <t>cf. ma photo sur https://tayeb.fr/photo/jupiter/jupiter.htm</t>
  </si>
  <si>
    <t>cf CoolPix P900 sur https://tayeb.fr/photo/jupiter/jupiter.htm</t>
  </si>
  <si>
    <t>cf. photo Fabien sur https://tayeb.fr/photo/jupiter/jupiter.htm</t>
  </si>
  <si>
    <t>cf. photos de 03/2023</t>
  </si>
  <si>
    <t>temps (s)</t>
  </si>
  <si>
    <t>inverse temps</t>
  </si>
  <si>
    <t>(une différence de 1 IL/EV correspond à un doublement de la luminosité)</t>
  </si>
  <si>
    <t>Canon EOS R7</t>
  </si>
  <si>
    <t>Nikon Z50</t>
  </si>
  <si>
    <t>Z50</t>
  </si>
  <si>
    <t>SanDisk SDXC Extreme PRO, 200 MB/s, V30, UHS-I, U3</t>
  </si>
  <si>
    <t>K128</t>
  </si>
  <si>
    <t>200 MB/s</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</si>
</sst>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00"/>
    <numFmt numFmtId="175" formatCode="\±0.00"/>
    <numFmt numFmtId="176" formatCode="\±\ 0.00"/>
    <numFmt numFmtId="177" formatCode="0.0"/>
    <numFmt numFmtId="178" formatCode="\f/#,##0"/>
    <numFmt numFmtId="179" formatCode="\f/0.0"/>
    <numFmt numFmtId="180" formatCode="#,##0.00,&quot;mm&quot;;\-#,##0.00,&quot;mm&quot;"/>
    <numFmt numFmtId="181" formatCode="#,##0.00,&quot;mm&quot;"/>
    <numFmt numFmtId="182" formatCode="#,##0.00,\m"/>
    <numFmt numFmtId="183" formatCode="#,##0.00\ &quot;F&quot;"/>
    <numFmt numFmtId="184" formatCode="###,0\,00,&quot;mm&quot;"/>
    <numFmt numFmtId="185" formatCode="#,##0.00&quot;mm&quot;"/>
    <numFmt numFmtId="186" formatCode="#,##0&quot; mm&quot;"/>
    <numFmt numFmtId="187" formatCode="0.0000"/>
    <numFmt numFmtId="188" formatCode="#,##0.00&quot;cm&quot;"/>
    <numFmt numFmtId="189" formatCode="#,##0.00&quot; cm&quot;"/>
    <numFmt numFmtId="190" formatCode="\±\ 0.000"/>
    <numFmt numFmtId="191" formatCode="[$-40C]dddd\ d\ mmmm\ yyyy"/>
    <numFmt numFmtId="192" formatCode="dd/mm/yy;@"/>
    <numFmt numFmtId="193" formatCode="#&quot; &quot;???/???"/>
    <numFmt numFmtId="194" formatCode="0.00000"/>
    <numFmt numFmtId="195" formatCode="&quot;Vrai&quot;;&quot;Vrai&quot;;&quot;Faux&quot;"/>
    <numFmt numFmtId="196" formatCode="&quot;Actif&quot;;&quot;Actif&quot;;&quot;Inactif&quot;"/>
    <numFmt numFmtId="197" formatCode="0.000000"/>
    <numFmt numFmtId="198" formatCode="#,##0.0"/>
  </numFmts>
  <fonts count="37">
    <font>
      <sz val="10"/>
      <name val="Arial"/>
      <family val="0"/>
    </font>
    <font>
      <b/>
      <sz val="10"/>
      <name val="Arial"/>
      <family val="0"/>
    </font>
    <font>
      <i/>
      <sz val="10"/>
      <name val="Arial"/>
      <family val="0"/>
    </font>
    <font>
      <b/>
      <i/>
      <sz val="10"/>
      <name val="Arial"/>
      <family val="0"/>
    </font>
    <font>
      <sz val="8"/>
      <name val="Arial"/>
      <family val="0"/>
    </font>
    <font>
      <b/>
      <sz val="8"/>
      <name val="Tahoma"/>
      <family val="2"/>
    </font>
    <font>
      <sz val="8"/>
      <name val="Tahoma"/>
      <family val="0"/>
    </font>
    <font>
      <u val="single"/>
      <sz val="10"/>
      <color indexed="12"/>
      <name val="Arial"/>
      <family val="0"/>
    </font>
    <font>
      <u val="single"/>
      <sz val="10"/>
      <color indexed="36"/>
      <name val="Arial"/>
      <family val="0"/>
    </font>
    <font>
      <sz val="10"/>
      <color indexed="12"/>
      <name val="Arial"/>
      <family val="0"/>
    </font>
    <font>
      <b/>
      <sz val="10"/>
      <color indexed="12"/>
      <name val="Arial"/>
      <family val="2"/>
    </font>
    <font>
      <sz val="8"/>
      <color indexed="8"/>
      <name val="Arial"/>
      <family val="0"/>
    </font>
    <font>
      <sz val="7.35"/>
      <color indexed="8"/>
      <name val="Arial"/>
      <family val="0"/>
    </font>
    <font>
      <b/>
      <sz val="18"/>
      <color indexed="62"/>
      <name val="Cambria"/>
      <family val="2"/>
    </font>
    <font>
      <sz val="10"/>
      <color indexed="10"/>
      <name val="Arial"/>
      <family val="0"/>
    </font>
    <font>
      <sz val="9"/>
      <name val="Tahoma"/>
      <family val="0"/>
    </font>
    <font>
      <b/>
      <sz val="9"/>
      <name val="Tahoma"/>
      <family val="0"/>
    </font>
    <font>
      <strike/>
      <sz val="10"/>
      <name val="Arial"/>
      <family val="0"/>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color indexed="8"/>
      <name val="Arial"/>
      <family val="0"/>
    </font>
    <font>
      <sz val="10"/>
      <color indexed="8"/>
      <name val="Arial"/>
      <family val="0"/>
    </font>
    <font>
      <b/>
      <i/>
      <sz val="10"/>
      <color indexed="10"/>
      <name val="Arial"/>
      <family val="2"/>
    </font>
    <font>
      <b/>
      <sz val="8"/>
      <name val="Arial"/>
      <family val="2"/>
    </font>
  </fonts>
  <fills count="2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41"/>
        <bgColor indexed="64"/>
      </patternFill>
    </fill>
    <fill>
      <patternFill patternType="solid">
        <fgColor indexed="42"/>
        <bgColor indexed="64"/>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15"/>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0" borderId="0" applyNumberFormat="0" applyFill="0" applyBorder="0" applyAlignment="0" applyProtection="0"/>
    <xf numFmtId="0" fontId="21" fillId="15" borderId="1" applyNumberFormat="0" applyAlignment="0" applyProtection="0"/>
    <xf numFmtId="0" fontId="20" fillId="0" borderId="2" applyNumberFormat="0" applyFill="0" applyAlignment="0" applyProtection="0"/>
    <xf numFmtId="0" fontId="22" fillId="7" borderId="1" applyNumberFormat="0" applyAlignment="0" applyProtection="0"/>
    <xf numFmtId="0" fontId="23" fillId="16"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0" fontId="24" fillId="7" borderId="0" applyNumberFormat="0" applyBorder="0" applyAlignment="0" applyProtection="0"/>
    <xf numFmtId="0" fontId="0" fillId="4" borderId="3" applyNumberFormat="0" applyFont="0" applyAlignment="0" applyProtection="0"/>
    <xf numFmtId="9" fontId="0" fillId="0" borderId="0" applyFont="0" applyFill="0" applyBorder="0" applyAlignment="0" applyProtection="0"/>
    <xf numFmtId="0" fontId="25" fillId="6" borderId="0" applyNumberFormat="0" applyBorder="0" applyAlignment="0" applyProtection="0"/>
    <xf numFmtId="0" fontId="26" fillId="15" borderId="4" applyNumberFormat="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17" borderId="9" applyNumberFormat="0" applyAlignment="0" applyProtection="0"/>
  </cellStyleXfs>
  <cellXfs count="401">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Alignment="1">
      <alignment horizontal="right"/>
    </xf>
    <xf numFmtId="0" fontId="0" fillId="0" borderId="0" xfId="0" applyAlignment="1">
      <alignment wrapText="1"/>
    </xf>
    <xf numFmtId="2" fontId="0" fillId="0" borderId="0" xfId="0" applyNumberFormat="1" applyAlignment="1">
      <alignment/>
    </xf>
    <xf numFmtId="177" fontId="0" fillId="0" borderId="0" xfId="0" applyNumberFormat="1" applyAlignment="1">
      <alignment/>
    </xf>
    <xf numFmtId="0" fontId="0" fillId="0" borderId="0" xfId="0" applyAlignment="1">
      <alignment horizontal="center" wrapText="1"/>
    </xf>
    <xf numFmtId="179" fontId="0" fillId="0" borderId="0" xfId="0" applyNumberFormat="1" applyAlignment="1">
      <alignment horizontal="center" wrapText="1"/>
    </xf>
    <xf numFmtId="3" fontId="0" fillId="0" borderId="0" xfId="0" applyNumberFormat="1" applyAlignment="1">
      <alignment/>
    </xf>
    <xf numFmtId="186" fontId="0" fillId="0" borderId="0" xfId="0" applyNumberFormat="1"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right" wrapText="1"/>
    </xf>
    <xf numFmtId="0" fontId="0" fillId="0" borderId="0" xfId="0" applyAlignment="1">
      <alignment horizontal="left"/>
    </xf>
    <xf numFmtId="174" fontId="0" fillId="0" borderId="0" xfId="0" applyNumberFormat="1" applyAlignment="1">
      <alignment/>
    </xf>
    <xf numFmtId="187" fontId="0" fillId="0" borderId="0" xfId="0" applyNumberFormat="1" applyAlignment="1">
      <alignment/>
    </xf>
    <xf numFmtId="3" fontId="0" fillId="0" borderId="0" xfId="0" applyNumberFormat="1" applyAlignment="1">
      <alignment horizontal="right"/>
    </xf>
    <xf numFmtId="0" fontId="1" fillId="0" borderId="0" xfId="0" applyFont="1" applyAlignment="1">
      <alignment horizontal="right"/>
    </xf>
    <xf numFmtId="3" fontId="1" fillId="0" borderId="0" xfId="0" applyNumberFormat="1" applyFont="1" applyAlignment="1">
      <alignment horizontal="right"/>
    </xf>
    <xf numFmtId="189" fontId="0" fillId="0" borderId="0" xfId="0" applyNumberFormat="1" applyAlignment="1">
      <alignment horizontal="right"/>
    </xf>
    <xf numFmtId="0" fontId="0" fillId="0" borderId="0" xfId="0" applyFont="1" applyAlignment="1">
      <alignment horizontal="right"/>
    </xf>
    <xf numFmtId="0" fontId="0" fillId="0" borderId="10" xfId="0" applyBorder="1" applyAlignment="1">
      <alignment wrapText="1"/>
    </xf>
    <xf numFmtId="0" fontId="0" fillId="7" borderId="10" xfId="0" applyFill="1" applyBorder="1" applyAlignment="1">
      <alignment wrapText="1"/>
    </xf>
    <xf numFmtId="0" fontId="0" fillId="0" borderId="10" xfId="0" applyBorder="1" applyAlignment="1">
      <alignment/>
    </xf>
    <xf numFmtId="1" fontId="0" fillId="0" borderId="0" xfId="0" applyNumberFormat="1" applyAlignment="1">
      <alignment/>
    </xf>
    <xf numFmtId="0" fontId="0" fillId="0" borderId="0" xfId="0" applyFont="1" applyAlignment="1">
      <alignment/>
    </xf>
    <xf numFmtId="0" fontId="0" fillId="7" borderId="0" xfId="0" applyFont="1" applyFill="1" applyAlignment="1">
      <alignment/>
    </xf>
    <xf numFmtId="174" fontId="0" fillId="7" borderId="0" xfId="0" applyNumberFormat="1" applyFont="1" applyFill="1" applyAlignment="1">
      <alignment/>
    </xf>
    <xf numFmtId="174" fontId="0" fillId="7" borderId="0" xfId="0" applyNumberFormat="1" applyFont="1" applyFill="1" applyAlignment="1" quotePrefix="1">
      <alignment horizontal="right"/>
    </xf>
    <xf numFmtId="190" fontId="0" fillId="7" borderId="0" xfId="0" applyNumberFormat="1" applyFont="1" applyFill="1" applyAlignment="1">
      <alignment horizontal="right"/>
    </xf>
    <xf numFmtId="0" fontId="1" fillId="7" borderId="0" xfId="0" applyFont="1" applyFill="1" applyAlignment="1">
      <alignment horizontal="center"/>
    </xf>
    <xf numFmtId="0" fontId="1" fillId="7" borderId="0" xfId="0" applyFont="1" applyFill="1" applyAlignment="1">
      <alignment/>
    </xf>
    <xf numFmtId="2" fontId="0" fillId="0" borderId="10" xfId="0" applyNumberFormat="1" applyBorder="1" applyAlignment="1">
      <alignment/>
    </xf>
    <xf numFmtId="0" fontId="0" fillId="0" borderId="10" xfId="0" applyBorder="1" applyAlignment="1" quotePrefix="1">
      <alignment/>
    </xf>
    <xf numFmtId="2" fontId="0" fillId="0" borderId="10" xfId="0" applyNumberFormat="1" applyFont="1" applyBorder="1" applyAlignment="1">
      <alignment/>
    </xf>
    <xf numFmtId="16" fontId="0" fillId="0" borderId="10" xfId="0" applyNumberFormat="1" applyBorder="1" applyAlignment="1" quotePrefix="1">
      <alignment/>
    </xf>
    <xf numFmtId="0" fontId="0" fillId="5" borderId="10" xfId="0" applyFill="1" applyBorder="1" applyAlignment="1">
      <alignment wrapText="1"/>
    </xf>
    <xf numFmtId="3" fontId="0" fillId="5" borderId="10" xfId="0" applyNumberFormat="1" applyFill="1" applyBorder="1" applyAlignment="1">
      <alignment/>
    </xf>
    <xf numFmtId="0" fontId="0" fillId="18" borderId="10" xfId="0" applyFont="1" applyFill="1" applyBorder="1" applyAlignment="1">
      <alignment wrapText="1"/>
    </xf>
    <xf numFmtId="0" fontId="0" fillId="18" borderId="10" xfId="0" applyFill="1" applyBorder="1" applyAlignment="1">
      <alignment/>
    </xf>
    <xf numFmtId="0" fontId="1" fillId="7" borderId="10" xfId="0" applyNumberFormat="1" applyFont="1" applyFill="1" applyBorder="1" applyAlignment="1">
      <alignment/>
    </xf>
    <xf numFmtId="3" fontId="0" fillId="7" borderId="10" xfId="0" applyNumberFormat="1" applyFill="1" applyBorder="1" applyAlignment="1">
      <alignment/>
    </xf>
    <xf numFmtId="0" fontId="0" fillId="19" borderId="10" xfId="0" applyFill="1" applyBorder="1" applyAlignment="1">
      <alignment wrapText="1"/>
    </xf>
    <xf numFmtId="0" fontId="0" fillId="19" borderId="10" xfId="0" applyFill="1" applyBorder="1" applyAlignment="1">
      <alignment/>
    </xf>
    <xf numFmtId="0" fontId="1" fillId="19" borderId="10" xfId="0" applyFont="1" applyFill="1" applyBorder="1" applyAlignment="1">
      <alignment/>
    </xf>
    <xf numFmtId="0" fontId="1" fillId="0" borderId="10" xfId="0" applyFont="1" applyBorder="1" applyAlignment="1">
      <alignment/>
    </xf>
    <xf numFmtId="0" fontId="0" fillId="5" borderId="10" xfId="0" applyFill="1" applyBorder="1" applyAlignment="1">
      <alignment/>
    </xf>
    <xf numFmtId="0" fontId="0" fillId="7" borderId="10" xfId="0" applyFill="1" applyBorder="1" applyAlignment="1">
      <alignment/>
    </xf>
    <xf numFmtId="0" fontId="0" fillId="0" borderId="10" xfId="0" applyFill="1" applyBorder="1" applyAlignment="1">
      <alignment/>
    </xf>
    <xf numFmtId="0" fontId="0" fillId="0" borderId="10" xfId="0" applyBorder="1" applyAlignment="1">
      <alignment horizontal="center" wrapText="1"/>
    </xf>
    <xf numFmtId="2" fontId="0" fillId="18" borderId="10" xfId="0" applyNumberFormat="1" applyFill="1" applyBorder="1" applyAlignment="1">
      <alignment/>
    </xf>
    <xf numFmtId="0" fontId="0" fillId="0" borderId="0" xfId="0" applyAlignment="1">
      <alignment horizontal="center"/>
    </xf>
    <xf numFmtId="0" fontId="1" fillId="7" borderId="0" xfId="0" applyFont="1" applyFill="1" applyAlignment="1">
      <alignment horizontal="center"/>
    </xf>
    <xf numFmtId="0" fontId="1" fillId="19" borderId="0" xfId="0" applyFont="1" applyFill="1" applyAlignment="1">
      <alignment horizontal="center"/>
    </xf>
    <xf numFmtId="0" fontId="1" fillId="5" borderId="0" xfId="0" applyFont="1" applyFill="1" applyAlignment="1">
      <alignment horizontal="center"/>
    </xf>
    <xf numFmtId="0" fontId="1" fillId="18" borderId="0" xfId="0" applyFont="1" applyFill="1" applyAlignment="1">
      <alignment horizontal="center"/>
    </xf>
    <xf numFmtId="177" fontId="0" fillId="7" borderId="0" xfId="0" applyNumberFormat="1" applyFill="1" applyAlignment="1">
      <alignment horizontal="center"/>
    </xf>
    <xf numFmtId="177" fontId="0" fillId="19" borderId="0" xfId="0" applyNumberFormat="1" applyFill="1" applyAlignment="1">
      <alignment horizontal="center"/>
    </xf>
    <xf numFmtId="177" fontId="0" fillId="5" borderId="0" xfId="0" applyNumberFormat="1" applyFill="1" applyAlignment="1">
      <alignment horizontal="center"/>
    </xf>
    <xf numFmtId="177" fontId="0" fillId="18" borderId="0" xfId="0" applyNumberFormat="1" applyFill="1" applyAlignment="1">
      <alignment horizontal="center"/>
    </xf>
    <xf numFmtId="2" fontId="1" fillId="0" borderId="0" xfId="0" applyNumberFormat="1" applyFont="1" applyAlignment="1">
      <alignment/>
    </xf>
    <xf numFmtId="0" fontId="10" fillId="0" borderId="0" xfId="0" applyFont="1" applyAlignment="1">
      <alignment/>
    </xf>
    <xf numFmtId="0" fontId="0" fillId="0" borderId="10" xfId="0" applyBorder="1" applyAlignment="1">
      <alignment horizontal="center"/>
    </xf>
    <xf numFmtId="0" fontId="0" fillId="0" borderId="10" xfId="0" applyNumberFormat="1" applyBorder="1" applyAlignment="1">
      <alignment horizontal="center"/>
    </xf>
    <xf numFmtId="17" fontId="0" fillId="0" borderId="10" xfId="0" applyNumberFormat="1" applyBorder="1" applyAlignment="1" quotePrefix="1">
      <alignment horizontal="center"/>
    </xf>
    <xf numFmtId="0" fontId="0" fillId="0" borderId="10" xfId="0" applyNumberFormat="1" applyBorder="1" applyAlignment="1" quotePrefix="1">
      <alignment horizontal="center"/>
    </xf>
    <xf numFmtId="0" fontId="0" fillId="0" borderId="10" xfId="0" applyNumberFormat="1" applyBorder="1" applyAlignment="1">
      <alignment/>
    </xf>
    <xf numFmtId="0" fontId="1" fillId="0" borderId="10" xfId="0" applyFont="1" applyBorder="1" applyAlignment="1">
      <alignment/>
    </xf>
    <xf numFmtId="177" fontId="9" fillId="0" borderId="10" xfId="0" applyNumberFormat="1" applyFont="1" applyBorder="1" applyAlignment="1">
      <alignment/>
    </xf>
    <xf numFmtId="187" fontId="1" fillId="0" borderId="10" xfId="0" applyNumberFormat="1" applyFont="1" applyBorder="1" applyAlignment="1">
      <alignment/>
    </xf>
    <xf numFmtId="177" fontId="1" fillId="0" borderId="10" xfId="0" applyNumberFormat="1" applyFont="1" applyBorder="1" applyAlignment="1">
      <alignment/>
    </xf>
    <xf numFmtId="2" fontId="9" fillId="0" borderId="10" xfId="0" applyNumberFormat="1" applyFont="1" applyBorder="1" applyAlignment="1">
      <alignment horizontal="right"/>
    </xf>
    <xf numFmtId="190" fontId="9" fillId="0" borderId="10" xfId="0" applyNumberFormat="1" applyFont="1" applyBorder="1" applyAlignment="1">
      <alignment horizontal="right"/>
    </xf>
    <xf numFmtId="0" fontId="7" fillId="0" borderId="0" xfId="44" applyAlignment="1" applyProtection="1">
      <alignment/>
      <protection/>
    </xf>
    <xf numFmtId="0" fontId="0" fillId="0" borderId="10" xfId="0" applyNumberFormat="1" applyBorder="1" applyAlignment="1">
      <alignment horizontal="right"/>
    </xf>
    <xf numFmtId="0" fontId="0" fillId="0" borderId="10" xfId="0" applyNumberFormat="1" applyBorder="1" applyAlignment="1" quotePrefix="1">
      <alignment horizontal="right"/>
    </xf>
    <xf numFmtId="2" fontId="0" fillId="0" borderId="10" xfId="0" applyNumberFormat="1" applyBorder="1" applyAlignment="1">
      <alignment/>
    </xf>
    <xf numFmtId="187" fontId="1" fillId="0" borderId="0" xfId="0" applyNumberFormat="1" applyFont="1" applyBorder="1" applyAlignment="1">
      <alignment/>
    </xf>
    <xf numFmtId="187" fontId="0" fillId="0" borderId="10" xfId="0" applyNumberFormat="1" applyFont="1" applyBorder="1" applyAlignment="1">
      <alignment/>
    </xf>
    <xf numFmtId="0" fontId="0" fillId="5" borderId="0" xfId="0" applyFont="1" applyFill="1" applyAlignment="1">
      <alignment horizontal="center"/>
    </xf>
    <xf numFmtId="0" fontId="0" fillId="18" borderId="0" xfId="0" applyFont="1" applyFill="1" applyAlignment="1">
      <alignment horizontal="center"/>
    </xf>
    <xf numFmtId="0" fontId="1" fillId="20" borderId="0" xfId="0" applyFont="1" applyFill="1" applyAlignment="1">
      <alignment horizontal="center"/>
    </xf>
    <xf numFmtId="0" fontId="7" fillId="0" borderId="0" xfId="44" applyFont="1" applyAlignment="1" applyProtection="1">
      <alignment/>
      <protection/>
    </xf>
    <xf numFmtId="192" fontId="0" fillId="0" borderId="0" xfId="0" applyNumberFormat="1" applyAlignment="1">
      <alignment/>
    </xf>
    <xf numFmtId="192" fontId="1" fillId="0" borderId="10" xfId="0" applyNumberFormat="1" applyFont="1" applyBorder="1" applyAlignment="1">
      <alignment/>
    </xf>
    <xf numFmtId="192" fontId="0" fillId="0" borderId="10" xfId="0" applyNumberFormat="1" applyBorder="1" applyAlignment="1">
      <alignment/>
    </xf>
    <xf numFmtId="3" fontId="1" fillId="5" borderId="10" xfId="0" applyNumberFormat="1" applyFont="1" applyFill="1" applyBorder="1" applyAlignment="1">
      <alignment/>
    </xf>
    <xf numFmtId="0" fontId="0" fillId="8" borderId="10" xfId="0" applyFill="1" applyBorder="1" applyAlignment="1">
      <alignment/>
    </xf>
    <xf numFmtId="0" fontId="0" fillId="8" borderId="10" xfId="0" applyFill="1" applyBorder="1" applyAlignment="1">
      <alignment wrapText="1"/>
    </xf>
    <xf numFmtId="193" fontId="1" fillId="8" borderId="10" xfId="0" applyNumberFormat="1" applyFont="1" applyFill="1" applyBorder="1" applyAlignment="1">
      <alignment/>
    </xf>
    <xf numFmtId="177" fontId="0" fillId="8" borderId="10" xfId="0" applyNumberFormat="1" applyFill="1" applyBorder="1" applyAlignment="1">
      <alignment/>
    </xf>
    <xf numFmtId="3" fontId="0" fillId="7" borderId="10" xfId="0" applyNumberFormat="1" applyFont="1" applyFill="1" applyBorder="1" applyAlignment="1">
      <alignment/>
    </xf>
    <xf numFmtId="2" fontId="0" fillId="18" borderId="10" xfId="0" applyNumberFormat="1" applyFont="1" applyFill="1" applyBorder="1" applyAlignment="1">
      <alignment/>
    </xf>
    <xf numFmtId="177" fontId="0" fillId="8" borderId="10" xfId="0" applyNumberFormat="1" applyFont="1" applyFill="1" applyBorder="1" applyAlignment="1">
      <alignment/>
    </xf>
    <xf numFmtId="0" fontId="0" fillId="5" borderId="10" xfId="0" applyFill="1" applyBorder="1" applyAlignment="1">
      <alignment horizontal="center"/>
    </xf>
    <xf numFmtId="0" fontId="0" fillId="5" borderId="10" xfId="0" applyNumberFormat="1" applyFill="1" applyBorder="1" applyAlignment="1" quotePrefix="1">
      <alignment horizontal="center"/>
    </xf>
    <xf numFmtId="0" fontId="0" fillId="5" borderId="10" xfId="0" applyNumberFormat="1" applyFill="1" applyBorder="1" applyAlignment="1" quotePrefix="1">
      <alignment horizontal="right"/>
    </xf>
    <xf numFmtId="2" fontId="0" fillId="5" borderId="10" xfId="0" applyNumberFormat="1" applyFill="1" applyBorder="1" applyAlignment="1">
      <alignment/>
    </xf>
    <xf numFmtId="0" fontId="1" fillId="5" borderId="10" xfId="0" applyFont="1" applyFill="1" applyBorder="1" applyAlignment="1">
      <alignment/>
    </xf>
    <xf numFmtId="177" fontId="9" fillId="5" borderId="10" xfId="0" applyNumberFormat="1" applyFont="1" applyFill="1" applyBorder="1" applyAlignment="1">
      <alignment/>
    </xf>
    <xf numFmtId="0" fontId="1" fillId="5" borderId="10" xfId="0" applyFont="1" applyFill="1" applyBorder="1" applyAlignment="1">
      <alignment/>
    </xf>
    <xf numFmtId="187" fontId="1" fillId="5" borderId="10" xfId="0" applyNumberFormat="1" applyFont="1" applyFill="1" applyBorder="1" applyAlignment="1">
      <alignment/>
    </xf>
    <xf numFmtId="177" fontId="1" fillId="5" borderId="10" xfId="0" applyNumberFormat="1" applyFont="1" applyFill="1" applyBorder="1" applyAlignment="1">
      <alignment/>
    </xf>
    <xf numFmtId="187" fontId="0" fillId="5" borderId="10" xfId="0" applyNumberFormat="1" applyFont="1" applyFill="1" applyBorder="1" applyAlignment="1">
      <alignment/>
    </xf>
    <xf numFmtId="2" fontId="9" fillId="5" borderId="10" xfId="0" applyNumberFormat="1" applyFont="1" applyFill="1" applyBorder="1" applyAlignment="1">
      <alignment horizontal="right"/>
    </xf>
    <xf numFmtId="190" fontId="9" fillId="5" borderId="10" xfId="0" applyNumberFormat="1" applyFont="1" applyFill="1" applyBorder="1" applyAlignment="1">
      <alignment horizontal="right"/>
    </xf>
    <xf numFmtId="2" fontId="0" fillId="5" borderId="10" xfId="0" applyNumberFormat="1" applyFill="1" applyBorder="1" applyAlignment="1">
      <alignment/>
    </xf>
    <xf numFmtId="0" fontId="0" fillId="5" borderId="0" xfId="0" applyFill="1" applyAlignment="1">
      <alignment/>
    </xf>
    <xf numFmtId="192" fontId="0" fillId="0" borderId="0" xfId="0" applyNumberFormat="1" applyFont="1" applyAlignment="1">
      <alignment/>
    </xf>
    <xf numFmtId="0" fontId="1" fillId="0" borderId="10" xfId="0" applyFont="1" applyBorder="1" applyAlignment="1">
      <alignment horizontal="right"/>
    </xf>
    <xf numFmtId="0" fontId="0" fillId="0" borderId="10" xfId="0" applyBorder="1" applyAlignment="1">
      <alignment horizontal="right"/>
    </xf>
    <xf numFmtId="0" fontId="1" fillId="0" borderId="10" xfId="0" applyFont="1" applyFill="1" applyBorder="1" applyAlignment="1">
      <alignment/>
    </xf>
    <xf numFmtId="1" fontId="0" fillId="0" borderId="10" xfId="0" applyNumberFormat="1" applyBorder="1" applyAlignment="1">
      <alignment/>
    </xf>
    <xf numFmtId="0" fontId="0" fillId="0" borderId="10" xfId="0" applyFont="1" applyBorder="1" applyAlignment="1">
      <alignment/>
    </xf>
    <xf numFmtId="0" fontId="0" fillId="0" borderId="10" xfId="0" applyFont="1" applyBorder="1" applyAlignment="1">
      <alignment horizontal="right"/>
    </xf>
    <xf numFmtId="192" fontId="0" fillId="0" borderId="10" xfId="0" applyNumberFormat="1" applyFont="1" applyBorder="1" applyAlignment="1">
      <alignment/>
    </xf>
    <xf numFmtId="0" fontId="0" fillId="0" borderId="10" xfId="0" applyFont="1" applyFill="1" applyBorder="1" applyAlignment="1">
      <alignment/>
    </xf>
    <xf numFmtId="0" fontId="0" fillId="7" borderId="10" xfId="0" applyNumberFormat="1" applyFill="1" applyBorder="1" applyAlignment="1">
      <alignment/>
    </xf>
    <xf numFmtId="174" fontId="0" fillId="0" borderId="10" xfId="0" applyNumberFormat="1" applyBorder="1" applyAlignment="1">
      <alignment/>
    </xf>
    <xf numFmtId="192" fontId="0" fillId="0" borderId="10" xfId="0" applyNumberFormat="1" applyFill="1" applyBorder="1" applyAlignment="1">
      <alignment/>
    </xf>
    <xf numFmtId="0" fontId="1" fillId="19" borderId="0" xfId="0" applyFont="1" applyFill="1" applyAlignment="1">
      <alignment/>
    </xf>
    <xf numFmtId="0" fontId="1" fillId="19" borderId="0" xfId="0" applyFont="1" applyFill="1" applyAlignment="1">
      <alignment horizontal="center"/>
    </xf>
    <xf numFmtId="174" fontId="9" fillId="0" borderId="10" xfId="0" applyNumberFormat="1" applyFont="1" applyBorder="1" applyAlignment="1">
      <alignment horizontal="right"/>
    </xf>
    <xf numFmtId="174" fontId="9" fillId="5" borderId="10" xfId="0" applyNumberFormat="1" applyFont="1" applyFill="1" applyBorder="1" applyAlignment="1">
      <alignment horizontal="right"/>
    </xf>
    <xf numFmtId="0" fontId="0" fillId="0" borderId="0" xfId="0" applyFont="1" applyAlignment="1">
      <alignment horizontal="center"/>
    </xf>
    <xf numFmtId="0" fontId="1" fillId="0" borderId="10" xfId="0" applyFont="1" applyBorder="1" applyAlignment="1">
      <alignment horizontal="center"/>
    </xf>
    <xf numFmtId="0" fontId="0" fillId="0" borderId="10" xfId="0" applyFont="1" applyBorder="1" applyAlignment="1">
      <alignment horizontal="center"/>
    </xf>
    <xf numFmtId="0" fontId="1" fillId="19" borderId="0" xfId="0" applyFont="1" applyFill="1" applyBorder="1" applyAlignment="1">
      <alignment/>
    </xf>
    <xf numFmtId="0" fontId="1" fillId="19" borderId="0" xfId="0" applyFont="1" applyFill="1" applyBorder="1" applyAlignment="1">
      <alignment horizontal="center"/>
    </xf>
    <xf numFmtId="0" fontId="0" fillId="0" borderId="0" xfId="0" applyBorder="1" applyAlignment="1">
      <alignment/>
    </xf>
    <xf numFmtId="0" fontId="0" fillId="19" borderId="0" xfId="0" applyFont="1" applyFill="1" applyBorder="1" applyAlignment="1">
      <alignment/>
    </xf>
    <xf numFmtId="174" fontId="0" fillId="19" borderId="0" xfId="0" applyNumberFormat="1" applyFont="1" applyFill="1" applyBorder="1" applyAlignment="1">
      <alignment/>
    </xf>
    <xf numFmtId="0" fontId="0" fillId="19" borderId="0" xfId="0" applyNumberFormat="1" applyFill="1" applyBorder="1" applyAlignment="1" quotePrefix="1">
      <alignment horizontal="right"/>
    </xf>
    <xf numFmtId="177" fontId="9" fillId="19" borderId="0" xfId="0" applyNumberFormat="1" applyFont="1" applyFill="1" applyBorder="1" applyAlignment="1">
      <alignment/>
    </xf>
    <xf numFmtId="2" fontId="9" fillId="19" borderId="0" xfId="0" applyNumberFormat="1" applyFont="1" applyFill="1" applyBorder="1" applyAlignment="1">
      <alignment horizontal="right"/>
    </xf>
    <xf numFmtId="174" fontId="9" fillId="19" borderId="0" xfId="0" applyNumberFormat="1" applyFont="1" applyFill="1" applyBorder="1" applyAlignment="1">
      <alignment horizontal="right"/>
    </xf>
    <xf numFmtId="190" fontId="9" fillId="19" borderId="0" xfId="0" applyNumberFormat="1" applyFont="1" applyFill="1" applyBorder="1" applyAlignment="1">
      <alignment horizontal="right"/>
    </xf>
    <xf numFmtId="2" fontId="9" fillId="19" borderId="0" xfId="0" applyNumberFormat="1" applyFont="1" applyFill="1" applyBorder="1" applyAlignment="1">
      <alignment/>
    </xf>
    <xf numFmtId="187" fontId="9" fillId="19" borderId="0" xfId="0" applyNumberFormat="1" applyFont="1" applyFill="1" applyBorder="1" applyAlignment="1">
      <alignment/>
    </xf>
    <xf numFmtId="2" fontId="1" fillId="5" borderId="10" xfId="0" applyNumberFormat="1" applyFont="1" applyFill="1" applyBorder="1" applyAlignment="1">
      <alignment horizontal="right"/>
    </xf>
    <xf numFmtId="2" fontId="0" fillId="5" borderId="10" xfId="0" applyNumberFormat="1" applyFont="1" applyFill="1" applyBorder="1" applyAlignment="1">
      <alignment horizontal="right"/>
    </xf>
    <xf numFmtId="194" fontId="1" fillId="0" borderId="10" xfId="0" applyNumberFormat="1" applyFont="1" applyBorder="1" applyAlignment="1">
      <alignment/>
    </xf>
    <xf numFmtId="194" fontId="1" fillId="5" borderId="10" xfId="0" applyNumberFormat="1" applyFont="1" applyFill="1" applyBorder="1" applyAlignment="1">
      <alignment/>
    </xf>
    <xf numFmtId="12" fontId="1" fillId="7" borderId="0" xfId="0" applyNumberFormat="1" applyFont="1" applyFill="1" applyAlignment="1">
      <alignment horizontal="center"/>
    </xf>
    <xf numFmtId="12" fontId="1" fillId="19" borderId="0" xfId="0" applyNumberFormat="1" applyFont="1" applyFill="1" applyAlignment="1">
      <alignment horizontal="center"/>
    </xf>
    <xf numFmtId="12" fontId="1" fillId="5" borderId="0" xfId="0" applyNumberFormat="1" applyFont="1" applyFill="1" applyAlignment="1">
      <alignment horizontal="center"/>
    </xf>
    <xf numFmtId="12" fontId="1" fillId="20" borderId="0" xfId="0" applyNumberFormat="1" applyFont="1" applyFill="1" applyAlignment="1">
      <alignment horizontal="center"/>
    </xf>
    <xf numFmtId="12" fontId="1" fillId="18" borderId="0" xfId="0" applyNumberFormat="1" applyFont="1" applyFill="1" applyAlignment="1">
      <alignment horizontal="center"/>
    </xf>
    <xf numFmtId="0" fontId="0" fillId="0" borderId="0" xfId="0" applyFill="1" applyAlignment="1">
      <alignment horizontal="center"/>
    </xf>
    <xf numFmtId="177" fontId="0" fillId="20" borderId="0" xfId="0" applyNumberFormat="1" applyFont="1" applyFill="1" applyAlignment="1">
      <alignment horizontal="center"/>
    </xf>
    <xf numFmtId="0" fontId="0" fillId="16" borderId="0" xfId="0" applyFont="1" applyFill="1" applyAlignment="1">
      <alignment horizontal="center"/>
    </xf>
    <xf numFmtId="12" fontId="1" fillId="16" borderId="0" xfId="0" applyNumberFormat="1" applyFont="1" applyFill="1" applyAlignment="1">
      <alignment horizontal="center"/>
    </xf>
    <xf numFmtId="0" fontId="1" fillId="16" borderId="0" xfId="0" applyFont="1" applyFill="1" applyAlignment="1">
      <alignment horizontal="center"/>
    </xf>
    <xf numFmtId="177" fontId="0" fillId="16" borderId="0" xfId="0" applyNumberFormat="1" applyFill="1" applyAlignment="1">
      <alignment horizontal="center"/>
    </xf>
    <xf numFmtId="0" fontId="0" fillId="0" borderId="0" xfId="0" applyFont="1" applyFill="1" applyAlignment="1">
      <alignment horizontal="center"/>
    </xf>
    <xf numFmtId="1" fontId="0" fillId="16" borderId="0" xfId="0" applyNumberFormat="1" applyFont="1" applyFill="1" applyAlignment="1">
      <alignment horizontal="center"/>
    </xf>
    <xf numFmtId="1" fontId="0" fillId="7" borderId="0" xfId="0" applyNumberFormat="1" applyFont="1" applyFill="1" applyAlignment="1">
      <alignment horizontal="center"/>
    </xf>
    <xf numFmtId="1" fontId="0" fillId="19" borderId="0" xfId="0" applyNumberFormat="1" applyFont="1" applyFill="1" applyAlignment="1">
      <alignment horizontal="center"/>
    </xf>
    <xf numFmtId="1" fontId="0" fillId="5" borderId="0" xfId="0" applyNumberFormat="1" applyFont="1" applyFill="1" applyAlignment="1">
      <alignment horizontal="center"/>
    </xf>
    <xf numFmtId="1" fontId="0" fillId="20" borderId="0" xfId="0" applyNumberFormat="1" applyFont="1" applyFill="1" applyAlignment="1">
      <alignment horizontal="center"/>
    </xf>
    <xf numFmtId="1" fontId="0" fillId="18" borderId="0" xfId="0" applyNumberFormat="1" applyFont="1" applyFill="1" applyAlignment="1">
      <alignment horizontal="center"/>
    </xf>
    <xf numFmtId="0" fontId="14" fillId="0" borderId="0" xfId="0" applyFont="1" applyAlignment="1">
      <alignment/>
    </xf>
    <xf numFmtId="0" fontId="0" fillId="18" borderId="0" xfId="0" applyFill="1" applyAlignment="1">
      <alignment/>
    </xf>
    <xf numFmtId="0" fontId="1" fillId="18" borderId="0" xfId="0" applyFont="1" applyFill="1" applyAlignment="1">
      <alignment horizontal="center"/>
    </xf>
    <xf numFmtId="0" fontId="1" fillId="16" borderId="0" xfId="0" applyFont="1" applyFill="1" applyAlignment="1">
      <alignment horizontal="center"/>
    </xf>
    <xf numFmtId="0" fontId="0" fillId="0" borderId="10" xfId="0" applyFont="1" applyFill="1" applyBorder="1" applyAlignment="1">
      <alignment horizontal="center"/>
    </xf>
    <xf numFmtId="0" fontId="0" fillId="0" borderId="10" xfId="0" applyBorder="1" applyAlignment="1" quotePrefix="1">
      <alignment horizontal="center"/>
    </xf>
    <xf numFmtId="0" fontId="0" fillId="0" borderId="10" xfId="0" applyBorder="1" applyAlignment="1">
      <alignment horizontal="left"/>
    </xf>
    <xf numFmtId="0" fontId="7" fillId="0" borderId="10" xfId="44" applyBorder="1" applyAlignment="1" applyProtection="1">
      <alignment/>
      <protection/>
    </xf>
    <xf numFmtId="0" fontId="17" fillId="0" borderId="10" xfId="0" applyFont="1" applyBorder="1" applyAlignment="1">
      <alignment/>
    </xf>
    <xf numFmtId="0" fontId="0" fillId="0" borderId="0" xfId="0" applyAlignment="1" quotePrefix="1">
      <alignment horizontal="right"/>
    </xf>
    <xf numFmtId="0" fontId="0" fillId="21" borderId="0" xfId="0" applyFill="1" applyAlignment="1">
      <alignment/>
    </xf>
    <xf numFmtId="177" fontId="0" fillId="21" borderId="0" xfId="0" applyNumberFormat="1" applyFill="1" applyAlignment="1">
      <alignment/>
    </xf>
    <xf numFmtId="0" fontId="7" fillId="0" borderId="0" xfId="44" applyBorder="1" applyAlignment="1" applyProtection="1">
      <alignment/>
      <protection/>
    </xf>
    <xf numFmtId="0" fontId="0" fillId="0" borderId="0" xfId="0" applyBorder="1" applyAlignment="1">
      <alignment horizontal="right"/>
    </xf>
    <xf numFmtId="0" fontId="0" fillId="0" borderId="0" xfId="0" applyBorder="1" applyAlignment="1">
      <alignment horizontal="center"/>
    </xf>
    <xf numFmtId="192" fontId="0" fillId="0" borderId="0" xfId="0" applyNumberFormat="1" applyFill="1" applyBorder="1" applyAlignment="1">
      <alignment/>
    </xf>
    <xf numFmtId="16" fontId="0" fillId="0" borderId="10" xfId="0" applyNumberFormat="1" applyBorder="1" applyAlignment="1">
      <alignment/>
    </xf>
    <xf numFmtId="0" fontId="0" fillId="19" borderId="10" xfId="0" applyFill="1" applyBorder="1" applyAlignment="1" quotePrefix="1">
      <alignment/>
    </xf>
    <xf numFmtId="2" fontId="0" fillId="19" borderId="10" xfId="0" applyNumberFormat="1" applyFill="1" applyBorder="1" applyAlignment="1">
      <alignment/>
    </xf>
    <xf numFmtId="174" fontId="0" fillId="19" borderId="10" xfId="0" applyNumberFormat="1" applyFill="1" applyBorder="1" applyAlignment="1">
      <alignment/>
    </xf>
    <xf numFmtId="2" fontId="0" fillId="19" borderId="10" xfId="0" applyNumberFormat="1" applyFont="1" applyFill="1" applyBorder="1" applyAlignment="1">
      <alignment/>
    </xf>
    <xf numFmtId="0" fontId="0" fillId="22" borderId="10" xfId="0" applyFill="1" applyBorder="1" applyAlignment="1">
      <alignment/>
    </xf>
    <xf numFmtId="0" fontId="1" fillId="22" borderId="10" xfId="0" applyFont="1" applyFill="1" applyBorder="1" applyAlignment="1">
      <alignment/>
    </xf>
    <xf numFmtId="0" fontId="0" fillId="22" borderId="10" xfId="0" applyFill="1" applyBorder="1" applyAlignment="1">
      <alignment wrapText="1"/>
    </xf>
    <xf numFmtId="2" fontId="0" fillId="22" borderId="10" xfId="0" applyNumberFormat="1" applyFill="1" applyBorder="1" applyAlignment="1">
      <alignment/>
    </xf>
    <xf numFmtId="177" fontId="0" fillId="5" borderId="10" xfId="0" applyNumberFormat="1" applyFill="1" applyBorder="1" applyAlignment="1">
      <alignment/>
    </xf>
    <xf numFmtId="187" fontId="0" fillId="7" borderId="10" xfId="0" applyNumberFormat="1" applyFill="1" applyBorder="1" applyAlignment="1">
      <alignment/>
    </xf>
    <xf numFmtId="0" fontId="0" fillId="18" borderId="10" xfId="0" applyFill="1" applyBorder="1" applyAlignment="1">
      <alignment horizontal="center"/>
    </xf>
    <xf numFmtId="0" fontId="0" fillId="18" borderId="10" xfId="0" applyNumberFormat="1" applyFill="1" applyBorder="1" applyAlignment="1">
      <alignment horizontal="center"/>
    </xf>
    <xf numFmtId="0" fontId="0" fillId="18" borderId="10" xfId="0" applyNumberFormat="1" applyFill="1" applyBorder="1" applyAlignment="1">
      <alignment horizontal="right"/>
    </xf>
    <xf numFmtId="2" fontId="0" fillId="18" borderId="10" xfId="0" applyNumberFormat="1" applyFill="1" applyBorder="1" applyAlignment="1">
      <alignment/>
    </xf>
    <xf numFmtId="0" fontId="1" fillId="18" borderId="10" xfId="0" applyFont="1" applyFill="1" applyBorder="1" applyAlignment="1">
      <alignment/>
    </xf>
    <xf numFmtId="177" fontId="9" fillId="18" borderId="10" xfId="0" applyNumberFormat="1" applyFont="1" applyFill="1" applyBorder="1" applyAlignment="1">
      <alignment/>
    </xf>
    <xf numFmtId="0" fontId="1" fillId="18" borderId="10" xfId="0" applyFont="1" applyFill="1" applyBorder="1" applyAlignment="1">
      <alignment/>
    </xf>
    <xf numFmtId="187" fontId="1" fillId="18" borderId="10" xfId="0" applyNumberFormat="1" applyFont="1" applyFill="1" applyBorder="1" applyAlignment="1">
      <alignment/>
    </xf>
    <xf numFmtId="2" fontId="9" fillId="18" borderId="10" xfId="0" applyNumberFormat="1" applyFont="1" applyFill="1" applyBorder="1" applyAlignment="1">
      <alignment horizontal="right"/>
    </xf>
    <xf numFmtId="174" fontId="9" fillId="18" borderId="10" xfId="0" applyNumberFormat="1" applyFont="1" applyFill="1" applyBorder="1" applyAlignment="1">
      <alignment horizontal="right"/>
    </xf>
    <xf numFmtId="190" fontId="9" fillId="18" borderId="10" xfId="0" applyNumberFormat="1" applyFont="1" applyFill="1" applyBorder="1" applyAlignment="1">
      <alignment horizontal="right"/>
    </xf>
    <xf numFmtId="0" fontId="0" fillId="18" borderId="10" xfId="0" applyFill="1" applyBorder="1" applyAlignment="1" quotePrefix="1">
      <alignment horizontal="center"/>
    </xf>
    <xf numFmtId="187" fontId="1" fillId="18" borderId="10" xfId="0" applyNumberFormat="1" applyFont="1" applyFill="1" applyBorder="1" applyAlignment="1">
      <alignment/>
    </xf>
    <xf numFmtId="187" fontId="0" fillId="18" borderId="10" xfId="0" applyNumberFormat="1" applyFont="1" applyFill="1" applyBorder="1" applyAlignment="1">
      <alignment/>
    </xf>
    <xf numFmtId="0" fontId="7" fillId="18" borderId="0" xfId="44" applyFont="1" applyFill="1" applyAlignment="1" applyProtection="1">
      <alignment/>
      <protection/>
    </xf>
    <xf numFmtId="197" fontId="0" fillId="0" borderId="0" xfId="0" applyNumberFormat="1" applyAlignment="1">
      <alignment/>
    </xf>
    <xf numFmtId="1" fontId="0" fillId="0" borderId="0" xfId="0" applyNumberFormat="1" applyFont="1" applyAlignment="1">
      <alignment/>
    </xf>
    <xf numFmtId="0" fontId="0" fillId="7" borderId="0" xfId="0" applyFont="1" applyFill="1" applyBorder="1" applyAlignment="1">
      <alignment/>
    </xf>
    <xf numFmtId="0" fontId="0" fillId="19" borderId="0" xfId="0" applyFont="1" applyFill="1" applyAlignment="1">
      <alignment/>
    </xf>
    <xf numFmtId="0" fontId="0" fillId="0" borderId="0" xfId="0" applyFill="1" applyAlignment="1">
      <alignment/>
    </xf>
    <xf numFmtId="177" fontId="0" fillId="22" borderId="10" xfId="0" applyNumberFormat="1" applyFill="1" applyBorder="1" applyAlignment="1">
      <alignment/>
    </xf>
    <xf numFmtId="177" fontId="0" fillId="7" borderId="10" xfId="0" applyNumberFormat="1" applyFill="1" applyBorder="1" applyAlignment="1">
      <alignment/>
    </xf>
    <xf numFmtId="177" fontId="0" fillId="7" borderId="10" xfId="0" applyNumberFormat="1" applyFont="1" applyFill="1" applyBorder="1" applyAlignment="1">
      <alignment/>
    </xf>
    <xf numFmtId="2" fontId="0" fillId="0" borderId="10" xfId="0" applyNumberFormat="1" applyFill="1" applyBorder="1" applyAlignment="1">
      <alignment/>
    </xf>
    <xf numFmtId="2" fontId="0" fillId="7" borderId="10" xfId="0" applyNumberFormat="1" applyFill="1" applyBorder="1" applyAlignment="1">
      <alignment/>
    </xf>
    <xf numFmtId="0" fontId="1" fillId="7" borderId="10" xfId="0" applyFont="1" applyFill="1" applyBorder="1" applyAlignment="1">
      <alignment/>
    </xf>
    <xf numFmtId="174" fontId="0" fillId="7" borderId="10" xfId="0" applyNumberFormat="1" applyFill="1" applyBorder="1" applyAlignment="1">
      <alignment/>
    </xf>
    <xf numFmtId="1" fontId="0" fillId="7" borderId="10" xfId="0" applyNumberFormat="1" applyFill="1" applyBorder="1" applyAlignment="1">
      <alignment/>
    </xf>
    <xf numFmtId="2" fontId="0" fillId="22" borderId="10" xfId="0" applyNumberFormat="1" applyFont="1" applyFill="1" applyBorder="1" applyAlignment="1">
      <alignment/>
    </xf>
    <xf numFmtId="174" fontId="0" fillId="22" borderId="10" xfId="0" applyNumberFormat="1" applyFill="1" applyBorder="1" applyAlignment="1">
      <alignment/>
    </xf>
    <xf numFmtId="2" fontId="1" fillId="22" borderId="10" xfId="0" applyNumberFormat="1" applyFont="1" applyFill="1" applyBorder="1" applyAlignment="1">
      <alignment horizontal="right"/>
    </xf>
    <xf numFmtId="3" fontId="0" fillId="22" borderId="10" xfId="0" applyNumberFormat="1" applyFill="1" applyBorder="1" applyAlignment="1">
      <alignment/>
    </xf>
    <xf numFmtId="0" fontId="1" fillId="22" borderId="10" xfId="0" applyNumberFormat="1" applyFont="1" applyFill="1" applyBorder="1" applyAlignment="1">
      <alignment/>
    </xf>
    <xf numFmtId="187" fontId="0" fillId="22" borderId="10" xfId="0" applyNumberFormat="1" applyFill="1" applyBorder="1" applyAlignment="1">
      <alignment/>
    </xf>
    <xf numFmtId="193" fontId="1" fillId="22" borderId="10" xfId="0" applyNumberFormat="1" applyFont="1" applyFill="1" applyBorder="1" applyAlignment="1">
      <alignment/>
    </xf>
    <xf numFmtId="177" fontId="1" fillId="22" borderId="10" xfId="0" applyNumberFormat="1" applyFont="1" applyFill="1" applyBorder="1" applyAlignment="1">
      <alignment/>
    </xf>
    <xf numFmtId="1" fontId="0" fillId="22" borderId="10" xfId="0" applyNumberFormat="1" applyFill="1" applyBorder="1" applyAlignment="1">
      <alignment/>
    </xf>
    <xf numFmtId="3" fontId="0" fillId="23" borderId="10" xfId="0" applyNumberFormat="1" applyFill="1" applyBorder="1" applyAlignment="1">
      <alignment/>
    </xf>
    <xf numFmtId="0" fontId="1" fillId="23" borderId="10" xfId="0" applyFont="1" applyFill="1" applyBorder="1" applyAlignment="1">
      <alignment/>
    </xf>
    <xf numFmtId="174" fontId="0" fillId="23" borderId="10" xfId="0" applyNumberFormat="1" applyFill="1" applyBorder="1" applyAlignment="1">
      <alignment/>
    </xf>
    <xf numFmtId="2" fontId="0" fillId="23" borderId="10" xfId="0" applyNumberFormat="1" applyFill="1" applyBorder="1" applyAlignment="1">
      <alignment/>
    </xf>
    <xf numFmtId="177" fontId="1" fillId="23" borderId="10" xfId="0" applyNumberFormat="1" applyFont="1" applyFill="1" applyBorder="1" applyAlignment="1">
      <alignment/>
    </xf>
    <xf numFmtId="0" fontId="2" fillId="7" borderId="10" xfId="0" applyFont="1" applyFill="1" applyBorder="1" applyAlignment="1">
      <alignment wrapText="1"/>
    </xf>
    <xf numFmtId="177" fontId="2" fillId="7" borderId="10" xfId="0" applyNumberFormat="1" applyFont="1" applyFill="1" applyBorder="1" applyAlignment="1">
      <alignment/>
    </xf>
    <xf numFmtId="177" fontId="2" fillId="22" borderId="10" xfId="0" applyNumberFormat="1" applyFont="1" applyFill="1" applyBorder="1" applyAlignment="1">
      <alignment/>
    </xf>
    <xf numFmtId="177" fontId="3" fillId="7" borderId="10" xfId="0" applyNumberFormat="1" applyFont="1" applyFill="1" applyBorder="1" applyAlignment="1">
      <alignment/>
    </xf>
    <xf numFmtId="1" fontId="0" fillId="23" borderId="10" xfId="0" applyNumberFormat="1" applyFill="1" applyBorder="1" applyAlignment="1">
      <alignment/>
    </xf>
    <xf numFmtId="3" fontId="0" fillId="23" borderId="10" xfId="0" applyNumberFormat="1" applyFont="1" applyFill="1" applyBorder="1" applyAlignment="1">
      <alignment/>
    </xf>
    <xf numFmtId="174" fontId="0" fillId="7" borderId="10" xfId="0" applyNumberFormat="1" applyFont="1" applyFill="1" applyBorder="1" applyAlignment="1">
      <alignment/>
    </xf>
    <xf numFmtId="174" fontId="0" fillId="23" borderId="10" xfId="0" applyNumberFormat="1" applyFont="1" applyFill="1" applyBorder="1" applyAlignment="1">
      <alignment/>
    </xf>
    <xf numFmtId="2" fontId="0" fillId="24" borderId="10" xfId="0" applyNumberFormat="1" applyFill="1" applyBorder="1" applyAlignment="1">
      <alignment/>
    </xf>
    <xf numFmtId="194" fontId="0" fillId="7" borderId="10" xfId="0" applyNumberFormat="1" applyFill="1" applyBorder="1" applyAlignment="1">
      <alignment/>
    </xf>
    <xf numFmtId="0" fontId="35" fillId="0" borderId="0" xfId="0" applyFont="1" applyAlignment="1">
      <alignment/>
    </xf>
    <xf numFmtId="0" fontId="0" fillId="0" borderId="10" xfId="0" applyFill="1" applyBorder="1" applyAlignment="1" quotePrefix="1">
      <alignment/>
    </xf>
    <xf numFmtId="174" fontId="0" fillId="0" borderId="10" xfId="0" applyNumberFormat="1" applyFill="1" applyBorder="1" applyAlignment="1">
      <alignment/>
    </xf>
    <xf numFmtId="2" fontId="0" fillId="0" borderId="10" xfId="0" applyNumberFormat="1" applyFont="1" applyFill="1" applyBorder="1" applyAlignment="1">
      <alignment/>
    </xf>
    <xf numFmtId="0" fontId="0" fillId="0" borderId="11" xfId="0" applyBorder="1" applyAlignment="1">
      <alignment/>
    </xf>
    <xf numFmtId="2" fontId="0" fillId="0" borderId="11" xfId="0" applyNumberFormat="1" applyBorder="1" applyAlignment="1">
      <alignment/>
    </xf>
    <xf numFmtId="2" fontId="0" fillId="5" borderId="11" xfId="0" applyNumberFormat="1" applyFont="1" applyFill="1" applyBorder="1" applyAlignment="1">
      <alignment horizontal="right"/>
    </xf>
    <xf numFmtId="3" fontId="0" fillId="5" borderId="11" xfId="0" applyNumberFormat="1" applyFill="1" applyBorder="1" applyAlignment="1">
      <alignment/>
    </xf>
    <xf numFmtId="3" fontId="1" fillId="5" borderId="11" xfId="0" applyNumberFormat="1" applyFont="1" applyFill="1" applyBorder="1" applyAlignment="1">
      <alignment/>
    </xf>
    <xf numFmtId="0" fontId="1" fillId="7" borderId="11" xfId="0" applyNumberFormat="1" applyFont="1" applyFill="1" applyBorder="1" applyAlignment="1">
      <alignment/>
    </xf>
    <xf numFmtId="187" fontId="0" fillId="7" borderId="11" xfId="0" applyNumberFormat="1" applyFill="1" applyBorder="1" applyAlignment="1">
      <alignment/>
    </xf>
    <xf numFmtId="2" fontId="0" fillId="18" borderId="11" xfId="0" applyNumberFormat="1" applyFill="1" applyBorder="1" applyAlignment="1">
      <alignment/>
    </xf>
    <xf numFmtId="2" fontId="0" fillId="19" borderId="11" xfId="0" applyNumberFormat="1" applyFill="1" applyBorder="1" applyAlignment="1">
      <alignment/>
    </xf>
    <xf numFmtId="177" fontId="0" fillId="5" borderId="11" xfId="0" applyNumberFormat="1" applyFill="1" applyBorder="1" applyAlignment="1">
      <alignment/>
    </xf>
    <xf numFmtId="193" fontId="1" fillId="8" borderId="11" xfId="0" applyNumberFormat="1" applyFont="1" applyFill="1" applyBorder="1" applyAlignment="1">
      <alignment/>
    </xf>
    <xf numFmtId="177" fontId="0" fillId="7" borderId="11" xfId="0" applyNumberFormat="1" applyFill="1" applyBorder="1" applyAlignment="1">
      <alignment/>
    </xf>
    <xf numFmtId="177" fontId="2" fillId="7" borderId="11" xfId="0" applyNumberFormat="1" applyFont="1" applyFill="1" applyBorder="1" applyAlignment="1">
      <alignment/>
    </xf>
    <xf numFmtId="2" fontId="0" fillId="7" borderId="11" xfId="0" applyNumberFormat="1" applyFill="1" applyBorder="1" applyAlignment="1">
      <alignment/>
    </xf>
    <xf numFmtId="0" fontId="1" fillId="23" borderId="11" xfId="0" applyFont="1" applyFill="1" applyBorder="1" applyAlignment="1">
      <alignment/>
    </xf>
    <xf numFmtId="174" fontId="0" fillId="23" borderId="11" xfId="0" applyNumberFormat="1" applyFont="1" applyFill="1" applyBorder="1" applyAlignment="1">
      <alignment/>
    </xf>
    <xf numFmtId="194" fontId="0" fillId="7" borderId="11" xfId="0" applyNumberFormat="1" applyFill="1" applyBorder="1" applyAlignment="1">
      <alignment/>
    </xf>
    <xf numFmtId="1" fontId="0" fillId="7" borderId="11" xfId="0" applyNumberFormat="1" applyFill="1" applyBorder="1" applyAlignment="1">
      <alignment/>
    </xf>
    <xf numFmtId="2" fontId="0" fillId="24" borderId="11" xfId="0" applyNumberFormat="1" applyFill="1" applyBorder="1" applyAlignment="1">
      <alignment/>
    </xf>
    <xf numFmtId="2" fontId="0" fillId="23" borderId="11" xfId="0" applyNumberFormat="1" applyFill="1" applyBorder="1" applyAlignment="1">
      <alignment/>
    </xf>
    <xf numFmtId="177" fontId="0" fillId="22" borderId="10" xfId="0" applyNumberFormat="1" applyFont="1" applyFill="1" applyBorder="1" applyAlignment="1">
      <alignment/>
    </xf>
    <xf numFmtId="2" fontId="0" fillId="22" borderId="10" xfId="0" applyNumberFormat="1" applyFont="1" applyFill="1" applyBorder="1" applyAlignment="1">
      <alignment/>
    </xf>
    <xf numFmtId="0" fontId="1" fillId="22" borderId="10" xfId="0" applyFont="1" applyFill="1" applyBorder="1" applyAlignment="1">
      <alignment/>
    </xf>
    <xf numFmtId="16" fontId="0" fillId="22" borderId="10" xfId="0" applyNumberFormat="1" applyFill="1" applyBorder="1" applyAlignment="1" quotePrefix="1">
      <alignment/>
    </xf>
    <xf numFmtId="16" fontId="0" fillId="22" borderId="10" xfId="0" applyNumberFormat="1" applyFill="1" applyBorder="1" applyAlignment="1">
      <alignment/>
    </xf>
    <xf numFmtId="0" fontId="0" fillId="22" borderId="10" xfId="0" applyFont="1" applyFill="1" applyBorder="1" applyAlignment="1">
      <alignment/>
    </xf>
    <xf numFmtId="3" fontId="1" fillId="22" borderId="10" xfId="0" applyNumberFormat="1" applyFont="1" applyFill="1" applyBorder="1" applyAlignment="1">
      <alignment/>
    </xf>
    <xf numFmtId="3" fontId="1" fillId="22" borderId="11" xfId="0" applyNumberFormat="1" applyFont="1" applyFill="1" applyBorder="1" applyAlignment="1">
      <alignment/>
    </xf>
    <xf numFmtId="0" fontId="0" fillId="19" borderId="11" xfId="0" applyFill="1" applyBorder="1" applyAlignment="1">
      <alignment/>
    </xf>
    <xf numFmtId="0" fontId="0" fillId="22" borderId="11" xfId="0" applyFill="1" applyBorder="1" applyAlignment="1">
      <alignment/>
    </xf>
    <xf numFmtId="2" fontId="0" fillId="19" borderId="11" xfId="0" applyNumberFormat="1" applyFont="1" applyFill="1" applyBorder="1" applyAlignment="1">
      <alignment/>
    </xf>
    <xf numFmtId="174" fontId="0" fillId="19" borderId="11" xfId="0" applyNumberFormat="1" applyFill="1" applyBorder="1" applyAlignment="1">
      <alignment/>
    </xf>
    <xf numFmtId="3" fontId="0" fillId="7" borderId="11" xfId="0" applyNumberFormat="1" applyFont="1" applyFill="1" applyBorder="1" applyAlignment="1">
      <alignment/>
    </xf>
    <xf numFmtId="2" fontId="0" fillId="18" borderId="11" xfId="0" applyNumberFormat="1" applyFont="1" applyFill="1" applyBorder="1" applyAlignment="1">
      <alignment/>
    </xf>
    <xf numFmtId="2" fontId="0" fillId="22" borderId="11" xfId="0" applyNumberFormat="1" applyFont="1" applyFill="1" applyBorder="1" applyAlignment="1">
      <alignment/>
    </xf>
    <xf numFmtId="177" fontId="0" fillId="8" borderId="11" xfId="0" applyNumberFormat="1" applyFont="1" applyFill="1" applyBorder="1" applyAlignment="1">
      <alignment/>
    </xf>
    <xf numFmtId="177" fontId="0" fillId="22" borderId="11" xfId="0" applyNumberFormat="1" applyFont="1" applyFill="1" applyBorder="1" applyAlignment="1">
      <alignment/>
    </xf>
    <xf numFmtId="174" fontId="0" fillId="7" borderId="11" xfId="0" applyNumberFormat="1" applyFont="1" applyFill="1" applyBorder="1" applyAlignment="1">
      <alignment/>
    </xf>
    <xf numFmtId="0" fontId="0" fillId="0" borderId="12" xfId="0" applyBorder="1" applyAlignment="1">
      <alignment/>
    </xf>
    <xf numFmtId="0" fontId="0" fillId="19" borderId="12" xfId="0" applyFill="1" applyBorder="1" applyAlignment="1" quotePrefix="1">
      <alignment/>
    </xf>
    <xf numFmtId="0" fontId="0" fillId="19" borderId="12" xfId="0" applyFill="1" applyBorder="1" applyAlignment="1">
      <alignment/>
    </xf>
    <xf numFmtId="0" fontId="0" fillId="22" borderId="12" xfId="0" applyFill="1" applyBorder="1" applyAlignment="1">
      <alignment/>
    </xf>
    <xf numFmtId="2" fontId="0" fillId="19" borderId="12" xfId="0" applyNumberFormat="1" applyFill="1" applyBorder="1" applyAlignment="1">
      <alignment/>
    </xf>
    <xf numFmtId="174" fontId="0" fillId="19" borderId="12" xfId="0" applyNumberFormat="1" applyFill="1" applyBorder="1" applyAlignment="1">
      <alignment/>
    </xf>
    <xf numFmtId="2" fontId="0" fillId="19" borderId="12" xfId="0" applyNumberFormat="1" applyFont="1" applyFill="1" applyBorder="1" applyAlignment="1">
      <alignment/>
    </xf>
    <xf numFmtId="2" fontId="0" fillId="5" borderId="12" xfId="0" applyNumberFormat="1" applyFont="1" applyFill="1" applyBorder="1" applyAlignment="1">
      <alignment horizontal="right"/>
    </xf>
    <xf numFmtId="3" fontId="0" fillId="5" borderId="12" xfId="0" applyNumberFormat="1" applyFill="1" applyBorder="1" applyAlignment="1">
      <alignment/>
    </xf>
    <xf numFmtId="3" fontId="1" fillId="5" borderId="12" xfId="0" applyNumberFormat="1" applyFont="1" applyFill="1" applyBorder="1" applyAlignment="1">
      <alignment/>
    </xf>
    <xf numFmtId="3" fontId="1" fillId="22" borderId="12" xfId="0" applyNumberFormat="1" applyFont="1" applyFill="1" applyBorder="1" applyAlignment="1">
      <alignment/>
    </xf>
    <xf numFmtId="0" fontId="1" fillId="7" borderId="12" xfId="0" applyNumberFormat="1" applyFont="1" applyFill="1" applyBorder="1" applyAlignment="1">
      <alignment/>
    </xf>
    <xf numFmtId="3" fontId="0" fillId="7" borderId="12" xfId="0" applyNumberFormat="1" applyFill="1" applyBorder="1" applyAlignment="1">
      <alignment/>
    </xf>
    <xf numFmtId="187" fontId="0" fillId="7" borderId="12" xfId="0" applyNumberFormat="1" applyFill="1" applyBorder="1" applyAlignment="1">
      <alignment/>
    </xf>
    <xf numFmtId="2" fontId="0" fillId="18" borderId="12" xfId="0" applyNumberFormat="1" applyFill="1" applyBorder="1" applyAlignment="1">
      <alignment/>
    </xf>
    <xf numFmtId="2" fontId="0" fillId="22" borderId="12" xfId="0" applyNumberFormat="1" applyFill="1" applyBorder="1" applyAlignment="1">
      <alignment/>
    </xf>
    <xf numFmtId="177" fontId="0" fillId="5" borderId="12" xfId="0" applyNumberFormat="1" applyFill="1" applyBorder="1" applyAlignment="1">
      <alignment/>
    </xf>
    <xf numFmtId="193" fontId="1" fillId="8" borderId="12" xfId="0" applyNumberFormat="1" applyFont="1" applyFill="1" applyBorder="1" applyAlignment="1">
      <alignment/>
    </xf>
    <xf numFmtId="177" fontId="0" fillId="8" borderId="12" xfId="0" applyNumberFormat="1" applyFill="1" applyBorder="1" applyAlignment="1">
      <alignment/>
    </xf>
    <xf numFmtId="177" fontId="0" fillId="22" borderId="12" xfId="0" applyNumberFormat="1" applyFill="1" applyBorder="1" applyAlignment="1">
      <alignment/>
    </xf>
    <xf numFmtId="177" fontId="0" fillId="7" borderId="12" xfId="0" applyNumberFormat="1" applyFill="1" applyBorder="1" applyAlignment="1">
      <alignment/>
    </xf>
    <xf numFmtId="177" fontId="2" fillId="7" borderId="12" xfId="0" applyNumberFormat="1" applyFont="1" applyFill="1" applyBorder="1" applyAlignment="1">
      <alignment/>
    </xf>
    <xf numFmtId="2" fontId="0" fillId="7" borderId="12" xfId="0" applyNumberFormat="1" applyFill="1" applyBorder="1" applyAlignment="1">
      <alignment/>
    </xf>
    <xf numFmtId="0" fontId="1" fillId="23" borderId="12" xfId="0" applyFont="1" applyFill="1" applyBorder="1" applyAlignment="1">
      <alignment/>
    </xf>
    <xf numFmtId="174" fontId="0" fillId="7" borderId="12" xfId="0" applyNumberFormat="1" applyFont="1" applyFill="1" applyBorder="1" applyAlignment="1">
      <alignment/>
    </xf>
    <xf numFmtId="194" fontId="0" fillId="7" borderId="12" xfId="0" applyNumberFormat="1" applyFill="1" applyBorder="1" applyAlignment="1">
      <alignment/>
    </xf>
    <xf numFmtId="1" fontId="0" fillId="7" borderId="12" xfId="0" applyNumberFormat="1" applyFill="1" applyBorder="1" applyAlignment="1">
      <alignment/>
    </xf>
    <xf numFmtId="2" fontId="0" fillId="24" borderId="12" xfId="0" applyNumberFormat="1" applyFill="1" applyBorder="1" applyAlignment="1">
      <alignment/>
    </xf>
    <xf numFmtId="2" fontId="0" fillId="0" borderId="12" xfId="0" applyNumberFormat="1" applyBorder="1" applyAlignment="1">
      <alignment/>
    </xf>
    <xf numFmtId="0" fontId="0" fillId="0" borderId="13" xfId="0" applyBorder="1" applyAlignment="1">
      <alignment/>
    </xf>
    <xf numFmtId="16" fontId="0" fillId="0" borderId="14" xfId="0" applyNumberFormat="1" applyBorder="1" applyAlignment="1">
      <alignment/>
    </xf>
    <xf numFmtId="16" fontId="0" fillId="22" borderId="14" xfId="0" applyNumberFormat="1" applyFill="1" applyBorder="1" applyAlignment="1">
      <alignment/>
    </xf>
    <xf numFmtId="2" fontId="0" fillId="0" borderId="14" xfId="0" applyNumberFormat="1" applyBorder="1" applyAlignment="1">
      <alignment/>
    </xf>
    <xf numFmtId="174" fontId="0" fillId="0" borderId="14" xfId="0" applyNumberFormat="1" applyBorder="1" applyAlignment="1">
      <alignment/>
    </xf>
    <xf numFmtId="2" fontId="0" fillId="0" borderId="14" xfId="0" applyNumberFormat="1" applyFont="1" applyBorder="1" applyAlignment="1">
      <alignment/>
    </xf>
    <xf numFmtId="2" fontId="0" fillId="5" borderId="14" xfId="0" applyNumberFormat="1" applyFont="1" applyFill="1" applyBorder="1" applyAlignment="1">
      <alignment horizontal="right"/>
    </xf>
    <xf numFmtId="3" fontId="0" fillId="5" borderId="14" xfId="0" applyNumberFormat="1" applyFill="1" applyBorder="1" applyAlignment="1">
      <alignment/>
    </xf>
    <xf numFmtId="3" fontId="1" fillId="5" borderId="14" xfId="0" applyNumberFormat="1" applyFont="1" applyFill="1" applyBorder="1" applyAlignment="1">
      <alignment/>
    </xf>
    <xf numFmtId="3" fontId="1" fillId="22" borderId="14" xfId="0" applyNumberFormat="1" applyFont="1" applyFill="1" applyBorder="1" applyAlignment="1">
      <alignment/>
    </xf>
    <xf numFmtId="0" fontId="1" fillId="7" borderId="14" xfId="0" applyNumberFormat="1" applyFont="1" applyFill="1" applyBorder="1" applyAlignment="1">
      <alignment/>
    </xf>
    <xf numFmtId="3" fontId="0" fillId="7" borderId="14" xfId="0" applyNumberFormat="1" applyFill="1" applyBorder="1" applyAlignment="1">
      <alignment/>
    </xf>
    <xf numFmtId="187" fontId="0" fillId="7" borderId="14" xfId="0" applyNumberFormat="1" applyFill="1" applyBorder="1" applyAlignment="1">
      <alignment/>
    </xf>
    <xf numFmtId="2" fontId="0" fillId="18" borderId="14" xfId="0" applyNumberFormat="1" applyFill="1" applyBorder="1" applyAlignment="1">
      <alignment/>
    </xf>
    <xf numFmtId="2" fontId="0" fillId="19" borderId="14" xfId="0" applyNumberFormat="1" applyFill="1" applyBorder="1" applyAlignment="1">
      <alignment/>
    </xf>
    <xf numFmtId="2" fontId="0" fillId="22" borderId="14" xfId="0" applyNumberFormat="1" applyFill="1" applyBorder="1" applyAlignment="1">
      <alignment/>
    </xf>
    <xf numFmtId="177" fontId="0" fillId="5" borderId="14" xfId="0" applyNumberFormat="1" applyFill="1" applyBorder="1" applyAlignment="1">
      <alignment/>
    </xf>
    <xf numFmtId="193" fontId="1" fillId="8" borderId="14" xfId="0" applyNumberFormat="1" applyFont="1" applyFill="1" applyBorder="1" applyAlignment="1">
      <alignment/>
    </xf>
    <xf numFmtId="177" fontId="0" fillId="8" borderId="14" xfId="0" applyNumberFormat="1" applyFill="1" applyBorder="1" applyAlignment="1">
      <alignment/>
    </xf>
    <xf numFmtId="177" fontId="0" fillId="22" borderId="14" xfId="0" applyNumberFormat="1" applyFill="1" applyBorder="1" applyAlignment="1">
      <alignment/>
    </xf>
    <xf numFmtId="177" fontId="0" fillId="7" borderId="14" xfId="0" applyNumberFormat="1" applyFill="1" applyBorder="1" applyAlignment="1">
      <alignment/>
    </xf>
    <xf numFmtId="177" fontId="2" fillId="7" borderId="14" xfId="0" applyNumberFormat="1" applyFont="1" applyFill="1" applyBorder="1" applyAlignment="1">
      <alignment/>
    </xf>
    <xf numFmtId="2" fontId="0" fillId="7" borderId="14" xfId="0" applyNumberFormat="1" applyFill="1" applyBorder="1" applyAlignment="1">
      <alignment/>
    </xf>
    <xf numFmtId="0" fontId="1" fillId="23" borderId="14" xfId="0" applyFont="1" applyFill="1" applyBorder="1" applyAlignment="1">
      <alignment/>
    </xf>
    <xf numFmtId="174" fontId="0" fillId="7" borderId="14" xfId="0" applyNumberFormat="1" applyFont="1" applyFill="1" applyBorder="1" applyAlignment="1">
      <alignment/>
    </xf>
    <xf numFmtId="194" fontId="0" fillId="7" borderId="14" xfId="0" applyNumberFormat="1" applyFill="1" applyBorder="1" applyAlignment="1">
      <alignment/>
    </xf>
    <xf numFmtId="1" fontId="0" fillId="7" borderId="14" xfId="0" applyNumberFormat="1" applyFill="1" applyBorder="1" applyAlignment="1">
      <alignment/>
    </xf>
    <xf numFmtId="2" fontId="0" fillId="24" borderId="14" xfId="0" applyNumberFormat="1" applyFill="1" applyBorder="1" applyAlignment="1">
      <alignment/>
    </xf>
    <xf numFmtId="2" fontId="0" fillId="0" borderId="15" xfId="0" applyNumberFormat="1" applyBorder="1" applyAlignment="1">
      <alignment/>
    </xf>
    <xf numFmtId="0" fontId="1" fillId="7" borderId="11" xfId="0" applyFont="1" applyFill="1" applyBorder="1" applyAlignment="1">
      <alignment/>
    </xf>
    <xf numFmtId="2" fontId="0" fillId="23" borderId="12" xfId="0" applyNumberFormat="1" applyFill="1" applyBorder="1" applyAlignment="1">
      <alignment/>
    </xf>
    <xf numFmtId="0" fontId="1" fillId="7" borderId="12" xfId="0" applyFont="1" applyFill="1" applyBorder="1" applyAlignment="1">
      <alignment/>
    </xf>
    <xf numFmtId="2" fontId="0" fillId="23" borderId="14" xfId="0" applyNumberFormat="1" applyFill="1" applyBorder="1" applyAlignment="1">
      <alignment/>
    </xf>
    <xf numFmtId="0" fontId="1" fillId="7" borderId="14" xfId="0" applyFont="1" applyFill="1" applyBorder="1" applyAlignment="1">
      <alignment/>
    </xf>
    <xf numFmtId="177" fontId="0" fillId="7" borderId="11" xfId="0" applyNumberFormat="1" applyFont="1" applyFill="1" applyBorder="1" applyAlignment="1">
      <alignment/>
    </xf>
    <xf numFmtId="0" fontId="0" fillId="0" borderId="12" xfId="0" applyBorder="1" applyAlignment="1" quotePrefix="1">
      <alignment/>
    </xf>
    <xf numFmtId="174" fontId="0" fillId="0" borderId="12" xfId="0" applyNumberFormat="1" applyBorder="1" applyAlignment="1">
      <alignment/>
    </xf>
    <xf numFmtId="2" fontId="0" fillId="0" borderId="12" xfId="0" applyNumberFormat="1" applyFont="1" applyBorder="1" applyAlignment="1">
      <alignment/>
    </xf>
    <xf numFmtId="177" fontId="0" fillId="7" borderId="12" xfId="0" applyNumberFormat="1" applyFont="1" applyFill="1" applyBorder="1" applyAlignment="1">
      <alignment/>
    </xf>
    <xf numFmtId="174" fontId="0" fillId="7" borderId="12" xfId="0" applyNumberFormat="1" applyFill="1" applyBorder="1" applyAlignment="1">
      <alignment/>
    </xf>
    <xf numFmtId="177" fontId="0" fillId="7" borderId="14" xfId="0" applyNumberFormat="1" applyFont="1" applyFill="1" applyBorder="1" applyAlignment="1">
      <alignment/>
    </xf>
    <xf numFmtId="187" fontId="0" fillId="23" borderId="10" xfId="0" applyNumberFormat="1" applyFill="1" applyBorder="1" applyAlignment="1">
      <alignment/>
    </xf>
    <xf numFmtId="187" fontId="0" fillId="23" borderId="11" xfId="0" applyNumberFormat="1" applyFill="1" applyBorder="1" applyAlignment="1">
      <alignment/>
    </xf>
    <xf numFmtId="187" fontId="0" fillId="23" borderId="14" xfId="0" applyNumberFormat="1" applyFill="1" applyBorder="1" applyAlignment="1">
      <alignment/>
    </xf>
    <xf numFmtId="187" fontId="0" fillId="23" borderId="12" xfId="0" applyNumberFormat="1" applyFill="1" applyBorder="1" applyAlignment="1">
      <alignment/>
    </xf>
    <xf numFmtId="0" fontId="1" fillId="19" borderId="10" xfId="0" applyNumberFormat="1" applyFont="1" applyFill="1" applyBorder="1" applyAlignment="1">
      <alignment/>
    </xf>
    <xf numFmtId="0" fontId="1" fillId="23" borderId="10" xfId="0" applyNumberFormat="1" applyFont="1" applyFill="1" applyBorder="1" applyAlignment="1">
      <alignment/>
    </xf>
    <xf numFmtId="0" fontId="1" fillId="19" borderId="11" xfId="0" applyNumberFormat="1" applyFont="1" applyFill="1" applyBorder="1" applyAlignment="1">
      <alignment/>
    </xf>
    <xf numFmtId="0" fontId="1" fillId="19" borderId="14" xfId="0" applyNumberFormat="1" applyFont="1" applyFill="1" applyBorder="1" applyAlignment="1">
      <alignment/>
    </xf>
    <xf numFmtId="0" fontId="1" fillId="19" borderId="12" xfId="0" applyNumberFormat="1" applyFont="1" applyFill="1" applyBorder="1" applyAlignment="1">
      <alignment/>
    </xf>
    <xf numFmtId="174" fontId="0" fillId="23" borderId="14" xfId="0" applyNumberFormat="1" applyFont="1" applyFill="1" applyBorder="1" applyAlignment="1">
      <alignment/>
    </xf>
    <xf numFmtId="174" fontId="0" fillId="23" borderId="12" xfId="0" applyNumberFormat="1" applyFont="1" applyFill="1" applyBorder="1" applyAlignment="1">
      <alignment/>
    </xf>
    <xf numFmtId="2" fontId="1" fillId="5" borderId="12" xfId="0" applyNumberFormat="1" applyFont="1" applyFill="1" applyBorder="1" applyAlignment="1">
      <alignment horizontal="right"/>
    </xf>
    <xf numFmtId="3" fontId="0" fillId="22" borderId="12" xfId="0" applyNumberFormat="1" applyFill="1" applyBorder="1" applyAlignment="1">
      <alignment/>
    </xf>
    <xf numFmtId="0" fontId="0" fillId="25" borderId="10" xfId="0" applyFill="1" applyBorder="1" applyAlignment="1">
      <alignment/>
    </xf>
    <xf numFmtId="0" fontId="0" fillId="25" borderId="10" xfId="0" applyFill="1" applyBorder="1" applyAlignment="1">
      <alignment wrapText="1"/>
    </xf>
    <xf numFmtId="177" fontId="0" fillId="25" borderId="10" xfId="0" applyNumberFormat="1" applyFill="1" applyBorder="1" applyAlignment="1">
      <alignment/>
    </xf>
    <xf numFmtId="177" fontId="0" fillId="25" borderId="11" xfId="0" applyNumberFormat="1" applyFill="1" applyBorder="1" applyAlignment="1">
      <alignment/>
    </xf>
    <xf numFmtId="177" fontId="0" fillId="25" borderId="12" xfId="0" applyNumberFormat="1" applyFill="1" applyBorder="1" applyAlignment="1">
      <alignment/>
    </xf>
    <xf numFmtId="0" fontId="1" fillId="25" borderId="10" xfId="0" applyFont="1" applyFill="1" applyBorder="1" applyAlignment="1">
      <alignment/>
    </xf>
    <xf numFmtId="2" fontId="0" fillId="25" borderId="10" xfId="0" applyNumberFormat="1" applyFill="1" applyBorder="1" applyAlignment="1">
      <alignment/>
    </xf>
    <xf numFmtId="2" fontId="0" fillId="25" borderId="11" xfId="0" applyNumberFormat="1" applyFill="1" applyBorder="1" applyAlignment="1">
      <alignment/>
    </xf>
    <xf numFmtId="2" fontId="0" fillId="25" borderId="14" xfId="0" applyNumberFormat="1" applyFill="1" applyBorder="1" applyAlignment="1">
      <alignment/>
    </xf>
    <xf numFmtId="2" fontId="0" fillId="25" borderId="12" xfId="0" applyNumberFormat="1" applyFill="1" applyBorder="1" applyAlignment="1">
      <alignment/>
    </xf>
    <xf numFmtId="0" fontId="7" fillId="22" borderId="10" xfId="44" applyFont="1" applyFill="1" applyBorder="1" applyAlignment="1" applyProtection="1">
      <alignment/>
      <protection/>
    </xf>
    <xf numFmtId="177" fontId="0" fillId="25" borderId="14" xfId="0" applyNumberFormat="1" applyFill="1" applyBorder="1" applyAlignment="1">
      <alignment/>
    </xf>
    <xf numFmtId="177" fontId="0" fillId="23" borderId="10" xfId="0" applyNumberFormat="1" applyFill="1" applyBorder="1" applyAlignment="1">
      <alignment/>
    </xf>
    <xf numFmtId="177" fontId="0" fillId="23" borderId="11" xfId="0" applyNumberFormat="1" applyFill="1" applyBorder="1" applyAlignment="1">
      <alignment/>
    </xf>
    <xf numFmtId="177" fontId="0" fillId="23" borderId="14" xfId="0" applyNumberFormat="1" applyFill="1" applyBorder="1" applyAlignment="1">
      <alignment/>
    </xf>
    <xf numFmtId="177" fontId="0" fillId="23" borderId="12" xfId="0" applyNumberFormat="1" applyFill="1" applyBorder="1" applyAlignment="1">
      <alignment/>
    </xf>
    <xf numFmtId="16" fontId="0" fillId="19" borderId="14" xfId="0" applyNumberFormat="1" applyFill="1" applyBorder="1" applyAlignment="1">
      <alignment/>
    </xf>
    <xf numFmtId="174" fontId="0" fillId="19" borderId="14" xfId="0" applyNumberFormat="1" applyFill="1" applyBorder="1" applyAlignment="1">
      <alignment/>
    </xf>
    <xf numFmtId="2" fontId="0" fillId="19" borderId="14" xfId="0" applyNumberFormat="1" applyFont="1" applyFill="1" applyBorder="1" applyAlignment="1">
      <alignment/>
    </xf>
    <xf numFmtId="0" fontId="0" fillId="21" borderId="0" xfId="0" applyFill="1" applyAlignment="1">
      <alignment horizontal="center"/>
    </xf>
    <xf numFmtId="0" fontId="1" fillId="21" borderId="0" xfId="0" applyFont="1" applyFill="1" applyAlignment="1">
      <alignment horizontal="center"/>
    </xf>
    <xf numFmtId="1" fontId="0" fillId="21" borderId="0" xfId="0" applyNumberFormat="1" applyFont="1" applyFill="1" applyAlignment="1">
      <alignment horizontal="center"/>
    </xf>
    <xf numFmtId="12" fontId="1" fillId="21" borderId="0" xfId="0" applyNumberFormat="1" applyFont="1" applyFill="1" applyAlignment="1">
      <alignment horizontal="center"/>
    </xf>
    <xf numFmtId="177" fontId="0" fillId="21" borderId="0" xfId="0" applyNumberFormat="1" applyFill="1" applyAlignment="1">
      <alignment horizontal="center"/>
    </xf>
    <xf numFmtId="177" fontId="0" fillId="0" borderId="0" xfId="0" applyNumberFormat="1" applyAlignment="1">
      <alignment horizontal="right"/>
    </xf>
    <xf numFmtId="3" fontId="0" fillId="21" borderId="0" xfId="0" applyNumberFormat="1" applyFill="1" applyAlignment="1">
      <alignment/>
    </xf>
    <xf numFmtId="3" fontId="0" fillId="0" borderId="10" xfId="0" applyNumberFormat="1" applyBorder="1" applyAlignment="1">
      <alignment/>
    </xf>
    <xf numFmtId="0" fontId="7" fillId="0" borderId="0" xfId="44" applyAlignment="1">
      <alignment/>
    </xf>
    <xf numFmtId="0" fontId="1" fillId="0" borderId="10" xfId="0" applyFont="1" applyBorder="1" applyAlignment="1">
      <alignment wrapText="1"/>
    </xf>
    <xf numFmtId="2" fontId="1" fillId="0" borderId="10" xfId="0" applyNumberFormat="1" applyFont="1" applyBorder="1" applyAlignment="1">
      <alignment wrapText="1"/>
    </xf>
    <xf numFmtId="0" fontId="1" fillId="0" borderId="10" xfId="0" applyFont="1" applyBorder="1" applyAlignment="1">
      <alignment horizontal="center" wrapText="1"/>
    </xf>
    <xf numFmtId="2" fontId="0" fillId="18" borderId="10" xfId="0" applyNumberFormat="1" applyFont="1" applyFill="1" applyBorder="1" applyAlignment="1">
      <alignment/>
    </xf>
    <xf numFmtId="174" fontId="0" fillId="18" borderId="10" xfId="0" applyNumberFormat="1" applyFill="1" applyBorder="1" applyAlignment="1">
      <alignment/>
    </xf>
    <xf numFmtId="0" fontId="7" fillId="0" borderId="10" xfId="44" applyBorder="1" applyAlignment="1">
      <alignment/>
    </xf>
    <xf numFmtId="16" fontId="0" fillId="19" borderId="10" xfId="0" applyNumberFormat="1" applyFill="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Hyperfocale (en mètres) en fonction de l'ouverture, pour différentes focales d'objectifs.
Quand la mise au point est réalisée sur l'hyperfocale H, la netteté s'étend de H/2 à l'infini. </a:t>
            </a:r>
          </a:p>
        </c:rich>
      </c:tx>
      <c:layout>
        <c:manualLayout>
          <c:xMode val="factor"/>
          <c:yMode val="factor"/>
          <c:x val="-0.0205"/>
          <c:y val="-0.02325"/>
        </c:manualLayout>
      </c:layout>
      <c:spPr>
        <a:noFill/>
        <a:ln>
          <a:noFill/>
        </a:ln>
      </c:spPr>
    </c:title>
    <c:plotArea>
      <c:layout>
        <c:manualLayout>
          <c:xMode val="edge"/>
          <c:yMode val="edge"/>
          <c:x val="0.01375"/>
          <c:y val="0.09425"/>
          <c:w val="0.88475"/>
          <c:h val="0.82575"/>
        </c:manualLayout>
      </c:layout>
      <c:scatterChart>
        <c:scatterStyle val="lineMarker"/>
        <c:varyColors val="0"/>
        <c:ser>
          <c:idx val="0"/>
          <c:order val="0"/>
          <c:tx>
            <c:strRef>
              <c:f>'Profondeur de champ'!$B$34</c:f>
              <c:strCache>
                <c:ptCount val="1"/>
                <c:pt idx="0">
                  <c:v>28 mm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'Profondeur de champ'!$A$35:$A$45</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'Profondeur de champ'!$B$35:$B$45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1"/>
          <c:order val="1"/>
          <c:tx>
            <c:strRef>
              <c:f>'Profondeur de champ'!$C$34</c:f>
              <c:strCache>
                <c:ptCount val="1"/>
                <c:pt idx="0">
                  <c:v>35 mm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'Profondeur de champ'!$A$35:$A$45</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'Profondeur de champ'!$C$35:$C$45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2"/>
          <c:order val="2"/>
          <c:tx>
            <c:strRef>
              <c:f>'Profondeur de champ'!$D$34</c:f>
              <c:strCache>
                <c:ptCount val="1"/>
                <c:pt idx="0">
                  <c:v>50 mm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'Profondeur de champ'!$A$35:$A$45</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'Profondeur de champ'!$D$35:$D$45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3"/>
          <c:order val="3"/>
          <c:tx>
            <c:strRef>
              <c:f>'Profondeur de champ'!$E$34</c:f>
              <c:strCache>
                <c:ptCount val="1"/>
                <c:pt idx="0">
                  <c:v>70 mm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'Profondeur de champ'!$A$35:$A$45</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'Profondeur de champ'!$E$35:$E$45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4"/>
          <c:order val="4"/>
          <c:tx>
            <c:strRef>
              <c:f>'Profondeur de champ'!$F$34</c:f>
              <c:strCache>
                <c:ptCount val="1"/>
                <c:pt idx="0">
                  <c:v>100 mm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'Profondeur de champ'!$A$35:$A$45</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'Profondeur de champ'!$F$35:$F$45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5"/>
          <c:order val="5"/>
          <c:tx>
            <c:strRef>
              <c:f>'Profondeur de champ'!$G$34</c:f>
              <c:strCache>
                <c:ptCount val="1"/>
                <c:pt idx="0">
                  <c:v>135 mm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'Profondeur de champ'!$A$35:$A$45</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'Profondeur de champ'!$G$35:$G$45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6"/>
          <c:order val="6"/>
          <c:tx>
            <c:strRef>
              <c:f>'Profondeur de champ'!$H$34</c:f>
              <c:strCache>
                <c:ptCount val="1"/>
                <c:pt idx="0">
                  <c:v>200 mm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xVal>
            <c:numRef>
              <c:f>'Profondeur de champ'!$A$35:$A$45</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'Profondeur de champ'!$I$35:$I$45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7"/>
          <c:order val="7"/>
          <c:tx>
            <c:strRef>
              <c:f>'Profondeur de champ'!$I$34</c:f>
              <c:strCache>
                <c:ptCount val="1"/>
                <c:pt idx="0">
                  <c:v>300 mm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xVal>
            <c:numRef>
              <c:f>'Profondeur de champ'!$A$35:$A$45</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'Profondeur de champ'!$J$35:$J$45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8"/>
          <c:order val="8"/>
          <c:tx>
            <c:strRef>
              <c:f>'Profondeur de champ'!$J$34</c:f>
              <c:strCache>
                <c:ptCount val="1"/>
                <c:pt idx="0">
                  <c:v>500 mm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xVal>
            <c:numRef>
              <c:f>'Profondeur de champ'!$A$35:$A$45</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'Profondeur de champ'!$M$35:$M$45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6924157"/>
        <c:axId val="62317414"/>
      </c:scatterChart>
      <c:valAx>
        <c:axId val="6924157"/>
        <c:scaling>
          <c:logBase val="10"/>
          <c:orientation val="minMax"/>
          <c:max val="100"/>
          <c:min val="1"/>
        </c:scaling>
        <c:axPos val="b"/>
        <c:majorGridlines>
          <c:spPr>
            <a:ln w="3175">
              <a:solidFill>
                <a:srgbClr val="00000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000000"/>
            </a:solidFill>
          </a:ln>
        </c:spPr>
        <c:crossAx val="62317414"/>
        <c:crosses val="autoZero"/>
        <c:crossBetween val="midCat"/>
        <c:dispUnits/>
        <c:majorUnit val="10"/>
      </c:valAx>
      <c:valAx>
        <c:axId val="62317414"/>
        <c:scaling>
          <c:logBase val="10"/>
          <c:orientation val="minMax"/>
          <c:max val="1000"/>
        </c:scaling>
        <c:axPos val="l"/>
        <c:majorGridlines>
          <c:spPr>
            <a:ln w="3175">
              <a:solidFill>
                <a:srgbClr val="00000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000000"/>
            </a:solidFill>
          </a:ln>
        </c:spPr>
        <c:crossAx val="6924157"/>
        <c:crossesAt val="0.1"/>
        <c:crossBetween val="midCat"/>
        <c:dispUnits/>
        <c:majorUnit val="10"/>
        <c:minorUnit val="10"/>
      </c:valAx>
      <c:spPr>
        <a:solidFill>
          <a:srgbClr val="FFFFFF"/>
        </a:solidFill>
        <a:ln w="12700">
          <a:solidFill>
            <a:srgbClr val="808080"/>
          </a:solidFill>
        </a:ln>
      </c:spPr>
    </c:plotArea>
    <c:legend>
      <c:legendPos val="r"/>
      <c:layout>
        <c:manualLayout>
          <c:xMode val="edge"/>
          <c:yMode val="edge"/>
          <c:x val="0.92275"/>
          <c:y val="0.33975"/>
          <c:w val="0.06025"/>
          <c:h val="0.386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http://www.pixelistes.com/forum/post3736441.html#http://www.pixelistes.com/forum/post3736441.html#p3736441" TargetMode="External"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5.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0.04475</cdr:x>
      <cdr:y>0.87725</cdr:y>
    </cdr:from>
    <cdr:to>
      <cdr:x>0.9315</cdr:x>
      <cdr:y>0.98525</cdr:y>
    </cdr:to>
    <cdr:sp>
      <cdr:nvSpPr>
        <cdr:cNvPr id="1" name="Texte 1"/>
        <cdr:cNvSpPr txBox="1">
          <a:spLocks noChangeArrowheads="1"/>
        </cdr:cNvSpPr>
      </cdr:nvSpPr>
      <cdr:spPr>
        <a:xfrm>
          <a:off x="381000" y="3771900"/>
          <a:ext cx="7639050" cy="466725"/>
        </a:xfrm>
        <a:prstGeom prst="rect">
          <a:avLst/>
        </a:prstGeom>
        <a:noFill/>
        <a:ln w="9525" cmpd="sng">
          <a:noFill/>
        </a:ln>
      </cdr:spPr>
      <cdr:txBody>
        <a:bodyPr vertOverflow="clip" wrap="square" lIns="18288" tIns="22860" rIns="18288" bIns="22860" anchor="ctr"/>
        <a:p>
          <a:pPr algn="ctr">
            <a:defRPr/>
          </a:pPr>
          <a:r>
            <a:rPr lang="en-US" cap="none" sz="800" b="0" i="0" u="none" baseline="0">
              <a:solidFill>
                <a:srgbClr val="000000"/>
              </a:solidFill>
              <a:latin typeface="Arial"/>
              <a:ea typeface="Arial"/>
              <a:cs typeface="Arial"/>
            </a:rPr>
            <a:t>Les différents points de discrétisation en x correspondent à des ouvertures de 1.8 - 2 - 2.8 - 4 - 5.6 - 8 - 11 - 16 - 22 - 32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1838325</xdr:colOff>
      <xdr:row>44</xdr:row>
      <xdr:rowOff>104775</xdr:rowOff>
    </xdr:from>
    <xdr:to>
      <xdr:col>15</xdr:col>
      <xdr:colOff>495300</xdr:colOff>
      <xdr:row>71</xdr:row>
      <xdr:rowOff>38100</xdr:rowOff>
    </xdr:to>
    <xdr:graphicFrame>
      <xdr:nvGraphicFramePr>
        <xdr:cNvPr id="1" name="Graphique 2"/>
        <xdr:cNvGraphicFramePr/>
      </xdr:nvGraphicFramePr>
      <xdr:xfrm>
        <a:off x="1838325" y="7229475"/>
        <a:ext cx="8610600" cy="4305300"/>
      </xdr:xfrm>
      <a:graphic>
        <a:graphicData uri="http://schemas.openxmlformats.org/drawingml/2006/chart">
          <c:chart xmlns:c="http://schemas.openxmlformats.org/drawingml/2006/chart" r:id="rId1"/>
        </a:graphicData>
      </a:graphic>
    </xdr:graphicFrame>
    <xdr:clientData/>
  </xdr:twoCellAnchor>
  <xdr:twoCellAnchor>
    <xdr:from>
      <xdr:col>9</xdr:col>
      <xdr:colOff>371475</xdr:colOff>
      <xdr:row>0</xdr:row>
      <xdr:rowOff>47625</xdr:rowOff>
    </xdr:from>
    <xdr:to>
      <xdr:col>21</xdr:col>
      <xdr:colOff>952500</xdr:colOff>
      <xdr:row>8</xdr:row>
      <xdr:rowOff>123825</xdr:rowOff>
    </xdr:to>
    <xdr:sp>
      <xdr:nvSpPr>
        <xdr:cNvPr id="2" name="Text Box 14"/>
        <xdr:cNvSpPr txBox="1">
          <a:spLocks noChangeArrowheads="1"/>
        </xdr:cNvSpPr>
      </xdr:nvSpPr>
      <xdr:spPr>
        <a:xfrm>
          <a:off x="7038975" y="47625"/>
          <a:ext cx="8610600" cy="1371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Les cercles de confusion adoptés par http://www.dofmaster.com/dofjs.html (et autres calculateurs de profondeur de champ) définissent la limite du flou par référence aux anciennes conventions qui étaient un diamètre de cercle de confusion de 30µm pour du 24x36. Cela donne grosso-modo, quand on est à la limite du flou, une image de (24 / 0.03) * (36/0.03) =  0.96 MegaPixel. 
</a:t>
          </a:r>
          <a:r>
            <a:rPr lang="en-US" cap="none" sz="1000" b="0" i="0" u="none" baseline="0">
              <a:solidFill>
                <a:srgbClr val="000000"/>
              </a:solidFill>
              <a:latin typeface="Arial"/>
              <a:ea typeface="Arial"/>
              <a:cs typeface="Arial"/>
            </a:rPr>
            <a:t>On retiendra donc que
</a:t>
          </a:r>
          <a:r>
            <a:rPr lang="en-US" cap="none" sz="1000" b="0" i="0" u="none" baseline="0">
              <a:solidFill>
                <a:srgbClr val="000000"/>
              </a:solidFill>
              <a:latin typeface="Arial"/>
              <a:ea typeface="Arial"/>
              <a:cs typeface="Arial"/>
            </a:rPr>
            <a:t>- "à la limite de la plage de profondeur de champ", le flou est déjà conséquent et correspond à une image de 1 MegaPixel.
</a:t>
          </a:r>
          <a:r>
            <a:rPr lang="en-US" cap="none" sz="1000" b="0" i="0" u="none" baseline="0">
              <a:solidFill>
                <a:srgbClr val="000000"/>
              </a:solidFill>
              <a:latin typeface="Arial"/>
              <a:ea typeface="Arial"/>
              <a:cs typeface="Arial"/>
            </a:rPr>
            <a:t>- Pour un capteur de 9 MPixels, le cercle de confusion correspondant s'étend sur 3 pixels en linéaire (soit environ 9 pixels en surface!). 
</a:t>
          </a:r>
          <a:r>
            <a:rPr lang="en-US" cap="none" sz="1000" b="0" i="0" u="none" baseline="0">
              <a:solidFill>
                <a:srgbClr val="000000"/>
              </a:solidFill>
              <a:latin typeface="Arial"/>
              <a:ea typeface="Arial"/>
              <a:cs typeface="Arial"/>
            </a:rPr>
            <a:t>- Pour un capteur de 16 MPixels, le cercle de confusion correspondant s'étend sur 4 pixels en linéaire (soit environ 16 pixels en surface!).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38</xdr:row>
      <xdr:rowOff>0</xdr:rowOff>
    </xdr:from>
    <xdr:to>
      <xdr:col>6</xdr:col>
      <xdr:colOff>561975</xdr:colOff>
      <xdr:row>40</xdr:row>
      <xdr:rowOff>19050</xdr:rowOff>
    </xdr:to>
    <xdr:sp>
      <xdr:nvSpPr>
        <xdr:cNvPr id="1" name="Text Box 10"/>
        <xdr:cNvSpPr txBox="1">
          <a:spLocks noChangeArrowheads="1"/>
        </xdr:cNvSpPr>
      </xdr:nvSpPr>
      <xdr:spPr>
        <a:xfrm>
          <a:off x="2828925" y="7124700"/>
          <a:ext cx="2619375" cy="342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Conclusion: l'argentique n'avait pas une résolution bien grande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70</xdr:row>
      <xdr:rowOff>95250</xdr:rowOff>
    </xdr:from>
    <xdr:to>
      <xdr:col>12</xdr:col>
      <xdr:colOff>419100</xdr:colOff>
      <xdr:row>86</xdr:row>
      <xdr:rowOff>0</xdr:rowOff>
    </xdr:to>
    <xdr:sp>
      <xdr:nvSpPr>
        <xdr:cNvPr id="1" name="Text Box 13"/>
        <xdr:cNvSpPr txBox="1">
          <a:spLocks noChangeArrowheads="1"/>
        </xdr:cNvSpPr>
      </xdr:nvSpPr>
      <xdr:spPr>
        <a:xfrm>
          <a:off x="257175" y="21545550"/>
          <a:ext cx="6734175" cy="2495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http://www.dpreview.com/reviews/nikoncp990/page2.asp
</a:t>
          </a:r>
          <a:r>
            <a:rPr lang="en-US" cap="none" sz="1000" b="0" i="0" u="none" baseline="0">
              <a:solidFill>
                <a:srgbClr val="000000"/>
              </a:solidFill>
              <a:latin typeface="Arial"/>
              <a:ea typeface="Arial"/>
              <a:cs typeface="Arial"/>
            </a:rPr>
            <a:t>On y apprend que les tailles des CCD sont mesurées de façon complètement démente. Un CCD 1" correspond à une diagonale de 16mm. Le CCD 1/1.8" du Coolpix 990 correspond donc à 16/1.8=8.89mm de diagonale.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Copie de http://www.dpreview.com/reviews/nikoncp990/page2.asp:
</a:t>
          </a:r>
          <a:r>
            <a:rPr lang="en-US" cap="none" sz="1000" b="0" i="0" u="none" baseline="0">
              <a:solidFill>
                <a:srgbClr val="000000"/>
              </a:solidFill>
              <a:latin typeface="Arial"/>
              <a:ea typeface="Arial"/>
              <a:cs typeface="Arial"/>
            </a:rPr>
            <a:t>This measuring system is a leftover from the days of video TUBES and has nothing to do with the surface area of the chip in a direct sense. The Edmund Scientific Optics catalog has a sidebar that completely backs up the idea.
</a:t>
          </a:r>
          <a:r>
            <a:rPr lang="en-US" cap="none" sz="1000" b="0" i="0" u="none" baseline="0">
              <a:solidFill>
                <a:srgbClr val="000000"/>
              </a:solidFill>
              <a:latin typeface="Arial"/>
              <a:ea typeface="Arial"/>
              <a:cs typeface="Arial"/>
            </a:rPr>
            <a:t>For instance, a "one inch" chip has a 16mm diagonal sensor array. A "one half inch" chip has an array of only 8mm in the diagonal. This means that the 1/1.8 = 0.555 inch measurement means NOTHING about the sensor array size. Unless they have changed the entire measurement system just for this chip, the actual sensor patch is 11% larger than the 8mm of a 1/2 chip or 8.88mm in diagonal.
</a:t>
          </a:r>
          <a:r>
            <a:rPr lang="en-US" cap="none" sz="1000" b="0" i="0" u="none" baseline="0">
              <a:solidFill>
                <a:srgbClr val="000000"/>
              </a:solidFill>
              <a:latin typeface="Arial"/>
              <a:ea typeface="Arial"/>
              <a:cs typeface="Arial"/>
            </a:rPr>
            <a:t>
</a:t>
          </a:r>
        </a:p>
      </xdr:txBody>
    </xdr:sp>
    <xdr:clientData/>
  </xdr:twoCellAnchor>
  <xdr:twoCellAnchor>
    <xdr:from>
      <xdr:col>12</xdr:col>
      <xdr:colOff>438150</xdr:colOff>
      <xdr:row>72</xdr:row>
      <xdr:rowOff>19050</xdr:rowOff>
    </xdr:from>
    <xdr:to>
      <xdr:col>12</xdr:col>
      <xdr:colOff>438150</xdr:colOff>
      <xdr:row>80</xdr:row>
      <xdr:rowOff>123825</xdr:rowOff>
    </xdr:to>
    <xdr:sp>
      <xdr:nvSpPr>
        <xdr:cNvPr id="2" name="Rectangle 47"/>
        <xdr:cNvSpPr>
          <a:spLocks/>
        </xdr:cNvSpPr>
      </xdr:nvSpPr>
      <xdr:spPr>
        <a:xfrm>
          <a:off x="7010400" y="21793200"/>
          <a:ext cx="0" cy="1400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Pour PTAssembler (panoramas), le "focal length multiplier" du Coolpix 990 est de 4.77, calculé à partir des valeurs suivantes:
</a:t>
          </a:r>
          <a:r>
            <a:rPr lang="en-US" cap="none" sz="1000" b="0" i="0" u="none" baseline="0">
              <a:solidFill>
                <a:srgbClr val="000000"/>
              </a:solidFill>
              <a:latin typeface="Arial"/>
              <a:ea typeface="Arial"/>
              <a:cs typeface="Arial"/>
            </a:rPr>
            <a:t>focale réelle: 8 - 24 mm
</a:t>
          </a:r>
          <a:r>
            <a:rPr lang="en-US" cap="none" sz="1000" b="0" i="0" u="none" baseline="0">
              <a:solidFill>
                <a:srgbClr val="000000"/>
              </a:solidFill>
              <a:latin typeface="Arial"/>
              <a:ea typeface="Arial"/>
              <a:cs typeface="Arial"/>
            </a:rPr>
            <a:t>équivalent 35mm: 38 - 115 mm
</a:t>
          </a:r>
        </a:p>
      </xdr:txBody>
    </xdr:sp>
    <xdr:clientData/>
  </xdr:twoCellAnchor>
  <xdr:twoCellAnchor editAs="oneCell">
    <xdr:from>
      <xdr:col>13</xdr:col>
      <xdr:colOff>38100</xdr:colOff>
      <xdr:row>70</xdr:row>
      <xdr:rowOff>38100</xdr:rowOff>
    </xdr:from>
    <xdr:to>
      <xdr:col>29</xdr:col>
      <xdr:colOff>257175</xdr:colOff>
      <xdr:row>92</xdr:row>
      <xdr:rowOff>123825</xdr:rowOff>
    </xdr:to>
    <xdr:pic>
      <xdr:nvPicPr>
        <xdr:cNvPr id="3" name="Picture 48"/>
        <xdr:cNvPicPr preferRelativeResize="1">
          <a:picLocks noChangeAspect="1"/>
        </xdr:cNvPicPr>
      </xdr:nvPicPr>
      <xdr:blipFill>
        <a:blip r:embed="rId1"/>
        <a:stretch>
          <a:fillRect/>
        </a:stretch>
      </xdr:blipFill>
      <xdr:spPr>
        <a:xfrm>
          <a:off x="7048500" y="21488400"/>
          <a:ext cx="4572000" cy="3648075"/>
        </a:xfrm>
        <a:prstGeom prst="rect">
          <a:avLst/>
        </a:prstGeom>
        <a:noFill/>
        <a:ln w="1" cmpd="sng">
          <a:noFill/>
        </a:ln>
      </xdr:spPr>
    </xdr:pic>
    <xdr:clientData/>
  </xdr:twoCellAnchor>
  <xdr:twoCellAnchor>
    <xdr:from>
      <xdr:col>1</xdr:col>
      <xdr:colOff>609600</xdr:colOff>
      <xdr:row>87</xdr:row>
      <xdr:rowOff>142875</xdr:rowOff>
    </xdr:from>
    <xdr:to>
      <xdr:col>9</xdr:col>
      <xdr:colOff>9525</xdr:colOff>
      <xdr:row>94</xdr:row>
      <xdr:rowOff>47625</xdr:rowOff>
    </xdr:to>
    <xdr:sp>
      <xdr:nvSpPr>
        <xdr:cNvPr id="4" name="Rectangle 64"/>
        <xdr:cNvSpPr>
          <a:spLocks/>
        </xdr:cNvSpPr>
      </xdr:nvSpPr>
      <xdr:spPr>
        <a:xfrm>
          <a:off x="838200" y="24345900"/>
          <a:ext cx="4210050" cy="1038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Pour PTAssembler (panoramas), le "focal length multiplier" du Coolpix 990 est de 4.77, calculé à partir des valeurs suivantes:
</a:t>
          </a:r>
          <a:r>
            <a:rPr lang="en-US" cap="none" sz="1000" b="0" i="0" u="none" baseline="0">
              <a:solidFill>
                <a:srgbClr val="000000"/>
              </a:solidFill>
              <a:latin typeface="Arial"/>
              <a:ea typeface="Arial"/>
              <a:cs typeface="Arial"/>
            </a:rPr>
            <a:t>focale réelle: 8 - 24 mm
</a:t>
          </a:r>
          <a:r>
            <a:rPr lang="en-US" cap="none" sz="1000" b="0" i="0" u="none" baseline="0">
              <a:solidFill>
                <a:srgbClr val="000000"/>
              </a:solidFill>
              <a:latin typeface="Arial"/>
              <a:ea typeface="Arial"/>
              <a:cs typeface="Arial"/>
            </a:rPr>
            <a:t>équivalent 35mm: 38 - 115 mm
</a:t>
          </a:r>
        </a:p>
      </xdr:txBody>
    </xdr:sp>
    <xdr:clientData/>
  </xdr:twoCellAnchor>
  <xdr:twoCellAnchor>
    <xdr:from>
      <xdr:col>0</xdr:col>
      <xdr:colOff>209550</xdr:colOff>
      <xdr:row>96</xdr:row>
      <xdr:rowOff>0</xdr:rowOff>
    </xdr:from>
    <xdr:to>
      <xdr:col>9</xdr:col>
      <xdr:colOff>657225</xdr:colOff>
      <xdr:row>104</xdr:row>
      <xdr:rowOff>38100</xdr:rowOff>
    </xdr:to>
    <xdr:sp>
      <xdr:nvSpPr>
        <xdr:cNvPr id="5" name="Text Box 69"/>
        <xdr:cNvSpPr txBox="1">
          <a:spLocks noChangeArrowheads="1"/>
        </xdr:cNvSpPr>
      </xdr:nvSpPr>
      <xdr:spPr>
        <a:xfrm>
          <a:off x="209550" y="25660350"/>
          <a:ext cx="5486400" cy="1333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Pour BluPlusPlus et Jalbum:
</a:t>
          </a:r>
          <a:r>
            <a:rPr lang="en-US" cap="none" sz="1000" b="0" i="0" u="none" baseline="0">
              <a:solidFill>
                <a:srgbClr val="000000"/>
              </a:solidFill>
              <a:latin typeface="Arial"/>
              <a:ea typeface="Arial"/>
              <a:cs typeface="Arial"/>
            </a:rPr>
            <a:t>Canon PowerShot A95.focalLengthMultiplier=4.871795
</a:t>
          </a:r>
          <a:r>
            <a:rPr lang="en-US" cap="none" sz="1000" b="0" i="0" u="none" baseline="0">
              <a:solidFill>
                <a:srgbClr val="000000"/>
              </a:solidFill>
              <a:latin typeface="Arial"/>
              <a:ea typeface="Arial"/>
              <a:cs typeface="Arial"/>
            </a:rPr>
            <a:t>NIKON E990.focalLengthMultiplier=4.79
</a:t>
          </a:r>
          <a:r>
            <a:rPr lang="en-US" cap="none" sz="1000" b="0" i="0" u="none" baseline="0">
              <a:solidFill>
                <a:srgbClr val="000000"/>
              </a:solidFill>
              <a:latin typeface="Arial"/>
              <a:ea typeface="Arial"/>
              <a:cs typeface="Arial"/>
            </a:rPr>
            <a:t>OLYMPUS IMAGING CORP. SP570UZ.focalLengthMultiplier=5.652173913
</a:t>
          </a:r>
          <a:r>
            <a:rPr lang="en-US" cap="none" sz="1000" b="0" i="0" u="none" baseline="0">
              <a:solidFill>
                <a:srgbClr val="000000"/>
              </a:solidFill>
              <a:latin typeface="Arial"/>
              <a:ea typeface="Arial"/>
              <a:cs typeface="Arial"/>
            </a:rPr>
            <a:t>Panasonic DMC-LZ7.focalLengthMultiplier=6.0655737705
</a:t>
          </a:r>
          <a:r>
            <a:rPr lang="en-US" cap="none" sz="1000" b="0" i="0" u="none" baseline="0">
              <a:solidFill>
                <a:srgbClr val="000000"/>
              </a:solidFill>
              <a:latin typeface="Arial"/>
              <a:ea typeface="Arial"/>
              <a:cs typeface="Arial"/>
            </a:rPr>
            <a:t>Panasonic DMC-TZ5.focalLengthMultiplier=5.9574468085</a:t>
          </a:r>
        </a:p>
      </xdr:txBody>
    </xdr:sp>
    <xdr:clientData/>
  </xdr:twoCellAnchor>
  <xdr:twoCellAnchor>
    <xdr:from>
      <xdr:col>21</xdr:col>
      <xdr:colOff>0</xdr:colOff>
      <xdr:row>71</xdr:row>
      <xdr:rowOff>76200</xdr:rowOff>
    </xdr:from>
    <xdr:to>
      <xdr:col>34</xdr:col>
      <xdr:colOff>333375</xdr:colOff>
      <xdr:row>91</xdr:row>
      <xdr:rowOff>28575</xdr:rowOff>
    </xdr:to>
    <xdr:sp>
      <xdr:nvSpPr>
        <xdr:cNvPr id="6" name="Rectangle 256"/>
        <xdr:cNvSpPr>
          <a:spLocks/>
        </xdr:cNvSpPr>
      </xdr:nvSpPr>
      <xdr:spPr>
        <a:xfrm>
          <a:off x="10267950" y="21688425"/>
          <a:ext cx="4648200" cy="3190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All the data above assume that the lens is perfect. 
But as soon as the diffraction becomes sensitive, its effect becomes more important than the lens quality.
It means that, apart perhaps from the two following cases, the data are quite pertinent:
- wide apertures were the lens quality could be the predominent cause of image degradation,
- very bad lenses
About the CoC = Circle of Confusion, and DoF = Depth of Field
You need to report to a graph as the one in page https://www.cambridgeincolour.com/tutorials/depth-of-field.htm
A punctual object in focus gives a point on the sensor.
A punctual object out of focus gives a spot on the sensor. 
The CoC is the size of this spot that is considered as the limit for out of focus objects. 
The size generaly used for this spot gives a really blurred image. It is reminiscent from argentic photography and 24x36 films. The general granularity of the film was 30µm for normal films. In 36mm, you can put 1200 of these 30µm grains. In 24mm you can put 800 of them. It gives an image with 1200x800 grains, i.e. a 1 "MegaPixel" argentic image. It was considered that the unfocussed spot could reach this dimension and that was the limit of the "sharpness" for this film. 
Current sensors are much more sharp, but we keep for the definition of the limit for "out of focus" this old definition corresponding to 1200 effective pixels in the width of the image, or about 1 MegaPixels in the image. 
It means that when you are at the min or max distances giving the CoC (limits of the DoF), the image is pretty blurred and corresponds to a 1 MPx image.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16</xdr:row>
      <xdr:rowOff>66675</xdr:rowOff>
    </xdr:from>
    <xdr:to>
      <xdr:col>21</xdr:col>
      <xdr:colOff>142875</xdr:colOff>
      <xdr:row>28</xdr:row>
      <xdr:rowOff>38100</xdr:rowOff>
    </xdr:to>
    <xdr:sp>
      <xdr:nvSpPr>
        <xdr:cNvPr id="1" name="Text Box 7">
          <a:hlinkClick r:id="rId1"/>
        </xdr:cNvPr>
        <xdr:cNvSpPr txBox="1">
          <a:spLocks noChangeArrowheads="1"/>
        </xdr:cNvSpPr>
      </xdr:nvSpPr>
      <xdr:spPr>
        <a:xfrm>
          <a:off x="6657975" y="2657475"/>
          <a:ext cx="4733925" cy="2076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http://www.pixelistes.com/forum/post3736441.html#p3736441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 éclairement de 200 lux qui illumine un objet blanc mat va donner à cet objet une luminance de 200/Pi, soit 64 cd/m² (candela par mètre carré).
</a:t>
          </a:r>
          <a:r>
            <a:rPr lang="en-US" cap="none" sz="1000" b="0" i="0" u="none" baseline="0">
              <a:solidFill>
                <a:srgbClr val="000000"/>
              </a:solidFill>
              <a:latin typeface="Arial"/>
              <a:ea typeface="Arial"/>
              <a:cs typeface="Arial"/>
            </a:rPr>
            <a:t>Il faut se baser sur un objet réfléchissant un gris neutre de 18%, qui aura donc une luminance de 64 x 0.18 = 11.5 cd/m².
</a:t>
          </a:r>
          <a:r>
            <a:rPr lang="en-US" cap="none" sz="1000" b="0" i="0" u="none" baseline="0">
              <a:solidFill>
                <a:srgbClr val="000000"/>
              </a:solidFill>
              <a:latin typeface="Arial"/>
              <a:ea typeface="Arial"/>
              <a:cs typeface="Arial"/>
            </a:rPr>
            <a:t>A pleine ouverture, avec le multiplicateur x1.4, tu seras à f/5.6.
</a:t>
          </a:r>
          <a:r>
            <a:rPr lang="en-US" cap="none" sz="1000" b="0" i="0" u="none" baseline="0">
              <a:solidFill>
                <a:srgbClr val="000000"/>
              </a:solidFill>
              <a:latin typeface="Arial"/>
              <a:ea typeface="Arial"/>
              <a:cs typeface="Arial"/>
            </a:rPr>
            <a:t>La formule qui relie le temps d'exposition en secondes (tps), le nombre d'ouverture (diaph), la sensibilité (ISO), et la luminance en cd/m² (lum) est :
</a:t>
          </a:r>
          <a:r>
            <a:rPr lang="en-US" cap="none" sz="1000" b="0" i="0" u="none" baseline="0">
              <a:solidFill>
                <a:srgbClr val="000000"/>
              </a:solidFill>
              <a:latin typeface="Arial"/>
              <a:ea typeface="Arial"/>
              <a:cs typeface="Arial"/>
            </a:rPr>
            <a:t>tps = 12.5 x (diaph)^2 / (lum x ISO)
</a:t>
          </a:r>
          <a:r>
            <a:rPr lang="en-US" cap="none" sz="1000" b="0" i="0" u="none" baseline="0">
              <a:solidFill>
                <a:srgbClr val="000000"/>
              </a:solidFill>
              <a:latin typeface="Arial"/>
              <a:ea typeface="Arial"/>
              <a:cs typeface="Arial"/>
            </a:rPr>
            <a:t>Donc, à 800 iso, ça fait un temps d'exposition :
</a:t>
          </a:r>
          <a:r>
            <a:rPr lang="en-US" cap="none" sz="1000" b="0" i="0" u="none" baseline="0">
              <a:solidFill>
                <a:srgbClr val="000000"/>
              </a:solidFill>
              <a:latin typeface="Arial"/>
              <a:ea typeface="Arial"/>
              <a:cs typeface="Arial"/>
            </a:rPr>
            <a:t>tps = 12.5 x (5.6)^2 / (11.5 x 800) = 0.043 seconde = 1/25 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10</xdr:col>
      <xdr:colOff>0</xdr:colOff>
      <xdr:row>40</xdr:row>
      <xdr:rowOff>0</xdr:rowOff>
    </xdr:to>
    <xdr:sp>
      <xdr:nvSpPr>
        <xdr:cNvPr id="1" name="Text Box 14"/>
        <xdr:cNvSpPr txBox="1">
          <a:spLocks noChangeArrowheads="1"/>
        </xdr:cNvSpPr>
      </xdr:nvSpPr>
      <xdr:spPr>
        <a:xfrm>
          <a:off x="0" y="5019675"/>
          <a:ext cx="10858500" cy="1457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Essais du 26/3/11, D7000:
</a:t>
          </a:r>
          <a:r>
            <a:rPr lang="en-US" cap="none" sz="1000" b="0" i="0" u="none" baseline="0">
              <a:solidFill>
                <a:srgbClr val="000000"/>
              </a:solidFill>
              <a:latin typeface="Arial"/>
              <a:ea typeface="Arial"/>
              <a:cs typeface="Arial"/>
            </a:rPr>
            <a:t>Le nombre de photos dans une rafale en RAW est quasiment indépendant de la carte, car c'est principalement l'appareil qui absorbe les données. 
</a:t>
          </a:r>
          <a:r>
            <a:rPr lang="en-US" cap="none" sz="1000" b="0" i="0" u="none" baseline="0">
              <a:solidFill>
                <a:srgbClr val="000000"/>
              </a:solidFill>
              <a:latin typeface="Arial"/>
              <a:ea typeface="Arial"/>
              <a:cs typeface="Arial"/>
            </a:rPr>
            <a:t>Par contre, on peut légèrement augmenter le nombre de photos en enregistrant uniquement en NEF (pas de JPEG). Dans ce cas, on peut faire des rafales de 13 images.
</a:t>
          </a:r>
          <a:r>
            <a:rPr lang="en-US" cap="none" sz="1000" b="0" i="0" u="none" baseline="0">
              <a:solidFill>
                <a:srgbClr val="000000"/>
              </a:solidFill>
              <a:latin typeface="Arial"/>
              <a:ea typeface="Arial"/>
              <a:cs typeface="Arial"/>
            </a:rPr>
            <a:t>Pour vider le buffer le plus rapidement possible, enregistrer les NEF sur la carte 1 (y mettre la carte la plus rapide) et les JPEG sur la carte 2.
</a:t>
          </a:r>
          <a:r>
            <a:rPr lang="en-US" cap="none" sz="1000" b="0" i="0" u="none" baseline="0">
              <a:solidFill>
                <a:srgbClr val="000000"/>
              </a:solidFill>
              <a:latin typeface="Arial"/>
              <a:ea typeface="Arial"/>
              <a:cs typeface="Arial"/>
            </a:rPr>
            <a:t>La Kingston SD10/16GB semble un poil plus rapide que la Transcend Ultimate 16 GB: pour vider le buffer de 13 NEF, j'ai chronométré 21s pour la Kingston et 25s pour la Transcend.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fmaster.com/dofjs.html" TargetMode="External" /><Relationship Id="rId2" Type="http://schemas.openxmlformats.org/officeDocument/2006/relationships/hyperlink" Target="http://www.edgar-bonet.org/physique/pdc/" TargetMode="External" /><Relationship Id="rId3" Type="http://schemas.openxmlformats.org/officeDocument/2006/relationships/hyperlink" Target="http://www.chassimages.com/forum/index.php/topic,82898.0.html" TargetMode="External" /><Relationship Id="rId4" Type="http://schemas.openxmlformats.org/officeDocument/2006/relationships/hyperlink" Target="http://www.edgar-bonet.org/physique/pdc/" TargetMode="External" /><Relationship Id="rId5" Type="http://schemas.openxmlformats.org/officeDocument/2006/relationships/hyperlink" Target="https://www.dpreview.com/articles/2666934640/what-is-equivalence-and-why-should-i-care"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drawing" Target="../drawings/drawing2.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fr.wikipedia.org/wiki/Carte_SD" TargetMode="External" /><Relationship Id="rId2" Type="http://schemas.openxmlformats.org/officeDocument/2006/relationships/hyperlink" Target="http://www.cameramemoryspeed.com/reviews/sd-cards/transcend-ultimate-600x-32gb-memory-card/" TargetMode="External" /><Relationship Id="rId3" Type="http://schemas.openxmlformats.org/officeDocument/2006/relationships/hyperlink" Target="http://www.cameramemoryspeed.com/reviews/sd-cards/sandisk-extreme-60mbs-32gb-sdhc-memory-card/" TargetMode="External" /><Relationship Id="rId4" Type="http://schemas.openxmlformats.org/officeDocument/2006/relationships/hyperlink" Target="http://tayeb.fr/bricbrac/bricbrac.htm" TargetMode="External" /><Relationship Id="rId5" Type="http://schemas.openxmlformats.org/officeDocument/2006/relationships/hyperlink" Target="http://www.cameramemoryspeed.com/reviews/sd-cards/sandisk-extreme-60mbs-32gb-sdhc-memory-card/" TargetMode="External" /><Relationship Id="rId6" Type="http://schemas.openxmlformats.org/officeDocument/2006/relationships/hyperlink" Target="https://www.westerndigital.com/fr-fr/products/memory-cards/sandisk-extreme-pro-uhs-i-sd?sku=SDSDXXD-128G-GN4IN" TargetMode="External" /><Relationship Id="rId7" Type="http://schemas.openxmlformats.org/officeDocument/2006/relationships/comments" Target="../comments10.xml" /><Relationship Id="rId8" Type="http://schemas.openxmlformats.org/officeDocument/2006/relationships/vmlDrawing" Target="../drawings/vmlDrawing9.vml" /><Relationship Id="rId9" Type="http://schemas.openxmlformats.org/officeDocument/2006/relationships/drawing" Target="../drawings/drawing6.xml" /><Relationship Id="rId10"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dpreview.com/articles/2666934640/what-is-equivalence-and-why-should-i-care"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fr.wikibooks.org/wiki/Photographie/Photom%C3%A9trie/Grandeurs_lumineuses_et_unit%C3%A9s_photom%C3%A9triques" TargetMode="External" /><Relationship Id="rId2" Type="http://schemas.openxmlformats.org/officeDocument/2006/relationships/hyperlink" Target="http://www.conservationphysics.org/lightmtr/luxmtr1.php" TargetMode="External" /><Relationship Id="rId3" Type="http://schemas.openxmlformats.org/officeDocument/2006/relationships/comments" Target="../comments5.xml" /><Relationship Id="rId4" Type="http://schemas.openxmlformats.org/officeDocument/2006/relationships/oleObject" Target="../embeddings/oleObject_4_0.bin" /><Relationship Id="rId5" Type="http://schemas.openxmlformats.org/officeDocument/2006/relationships/oleObject" Target="../embeddings/oleObject_4_1.bin" /><Relationship Id="rId6" Type="http://schemas.openxmlformats.org/officeDocument/2006/relationships/oleObject" Target="../embeddings/oleObject_4_2.bin" /><Relationship Id="rId7" Type="http://schemas.openxmlformats.org/officeDocument/2006/relationships/oleObject" Target="../embeddings/oleObject_4_3.bin" /><Relationship Id="rId8" Type="http://schemas.openxmlformats.org/officeDocument/2006/relationships/vmlDrawing" Target="../drawings/vmlDrawing5.vml" /><Relationship Id="rId9" Type="http://schemas.openxmlformats.org/officeDocument/2006/relationships/drawing" Target="../drawings/drawing5.xm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tayeb.fr/photo/jupiter/jupiter.htm"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Y45"/>
  <sheetViews>
    <sheetView zoomScale="85" zoomScaleNormal="85" zoomScalePageLayoutView="0" workbookViewId="0" topLeftCell="A1">
      <selection activeCell="A1" sqref="A1"/>
    </sheetView>
  </sheetViews>
  <sheetFormatPr defaultColWidth="11.421875" defaultRowHeight="12.75"/>
  <cols>
    <col min="1" max="1" width="34.140625" style="0" customWidth="1"/>
    <col min="2" max="4" width="7.140625" style="0" bestFit="1" customWidth="1"/>
    <col min="5" max="5" width="9.00390625" style="0" bestFit="1" customWidth="1"/>
    <col min="6" max="6" width="9.421875" style="0" bestFit="1" customWidth="1"/>
    <col min="7" max="7" width="9.8515625" style="0" bestFit="1" customWidth="1"/>
    <col min="8" max="8" width="8.421875" style="0" bestFit="1" customWidth="1"/>
    <col min="9" max="10" width="7.7109375" style="0" bestFit="1" customWidth="1"/>
    <col min="11" max="12" width="7.7109375" style="0" customWidth="1"/>
    <col min="13" max="13" width="10.7109375" style="0" customWidth="1"/>
    <col min="14" max="15" width="7.7109375" style="0" bestFit="1" customWidth="1"/>
    <col min="16" max="16" width="11.140625" style="0" customWidth="1"/>
    <col min="17" max="17" width="4.140625" style="0" customWidth="1"/>
    <col min="18" max="18" width="32.421875" style="0" bestFit="1" customWidth="1"/>
    <col min="19" max="20" width="9.8515625" style="0" bestFit="1" customWidth="1"/>
    <col min="21" max="21" width="3.7109375" style="0" customWidth="1"/>
    <col min="22" max="22" width="32.421875" style="0" bestFit="1" customWidth="1"/>
    <col min="23" max="23" width="7.140625" style="0" bestFit="1" customWidth="1"/>
    <col min="24" max="24" width="7.7109375" style="0" bestFit="1" customWidth="1"/>
    <col min="25" max="25" width="3.57421875" style="0" customWidth="1"/>
  </cols>
  <sheetData>
    <row r="1" ht="12.75">
      <c r="A1" s="1" t="s">
        <v>300</v>
      </c>
    </row>
    <row r="2" ht="12.75">
      <c r="A2" s="74" t="s">
        <v>127</v>
      </c>
    </row>
    <row r="3" ht="12.75">
      <c r="A3" s="74" t="s">
        <v>126</v>
      </c>
    </row>
    <row r="4" ht="12.75">
      <c r="A4" s="74" t="s">
        <v>113</v>
      </c>
    </row>
    <row r="5" spans="1:5" ht="12.75">
      <c r="A5" s="203" t="s">
        <v>289</v>
      </c>
      <c r="B5" s="163"/>
      <c r="C5" s="163"/>
      <c r="D5" s="163"/>
      <c r="E5" s="163"/>
    </row>
    <row r="6" ht="12.75">
      <c r="A6" s="74" t="s">
        <v>114</v>
      </c>
    </row>
    <row r="7" ht="12.75">
      <c r="A7" s="83" t="s">
        <v>125</v>
      </c>
    </row>
    <row r="8" ht="12.75">
      <c r="A8" s="2" t="s">
        <v>0</v>
      </c>
    </row>
    <row r="9" ht="12.75">
      <c r="A9" t="s">
        <v>1</v>
      </c>
    </row>
    <row r="10" spans="13:16" ht="12.75">
      <c r="M10" s="108" t="s">
        <v>150</v>
      </c>
      <c r="N10" s="108"/>
      <c r="O10" s="108"/>
      <c r="P10" s="108"/>
    </row>
    <row r="11" spans="1:24" ht="12.75">
      <c r="A11" s="24"/>
      <c r="B11" s="189" t="s">
        <v>73</v>
      </c>
      <c r="C11" s="63" t="s">
        <v>288</v>
      </c>
      <c r="D11" s="200" t="s">
        <v>274</v>
      </c>
      <c r="E11" s="63" t="s">
        <v>95</v>
      </c>
      <c r="F11" s="63" t="s">
        <v>96</v>
      </c>
      <c r="G11" s="63" t="s">
        <v>210</v>
      </c>
      <c r="H11" s="63" t="s">
        <v>302</v>
      </c>
      <c r="I11" s="63" t="s">
        <v>88</v>
      </c>
      <c r="J11" s="63" t="s">
        <v>157</v>
      </c>
      <c r="K11" s="63" t="s">
        <v>227</v>
      </c>
      <c r="L11" s="63" t="s">
        <v>301</v>
      </c>
      <c r="M11" s="95" t="s">
        <v>96</v>
      </c>
      <c r="N11" s="95" t="s">
        <v>88</v>
      </c>
      <c r="O11" s="95" t="s">
        <v>157</v>
      </c>
      <c r="P11" s="95"/>
      <c r="R11" s="32" t="s">
        <v>75</v>
      </c>
      <c r="S11" s="31" t="s">
        <v>73</v>
      </c>
      <c r="T11" s="31" t="s">
        <v>74</v>
      </c>
      <c r="V11" s="121" t="s">
        <v>75</v>
      </c>
      <c r="W11" s="122" t="s">
        <v>88</v>
      </c>
      <c r="X11" s="122" t="s">
        <v>74</v>
      </c>
    </row>
    <row r="12" spans="1:25" ht="12.75">
      <c r="A12" s="24" t="s">
        <v>97</v>
      </c>
      <c r="B12" s="190"/>
      <c r="C12" s="64"/>
      <c r="D12" s="190"/>
      <c r="E12" s="65" t="s">
        <v>98</v>
      </c>
      <c r="F12" s="66" t="s">
        <v>99</v>
      </c>
      <c r="G12" s="66" t="s">
        <v>211</v>
      </c>
      <c r="H12" s="64" t="s">
        <v>303</v>
      </c>
      <c r="I12" s="66"/>
      <c r="J12" s="24"/>
      <c r="K12" s="24"/>
      <c r="L12" s="24"/>
      <c r="M12" s="96"/>
      <c r="N12" s="96"/>
      <c r="O12" s="47"/>
      <c r="P12" s="96"/>
      <c r="R12" s="32"/>
      <c r="S12" s="31"/>
      <c r="T12" s="31"/>
      <c r="V12" s="128" t="s">
        <v>180</v>
      </c>
      <c r="W12" s="129"/>
      <c r="X12" s="129"/>
      <c r="Y12" s="130"/>
    </row>
    <row r="13" spans="1:25" ht="12.75">
      <c r="A13" s="24" t="s">
        <v>119</v>
      </c>
      <c r="B13" s="191">
        <v>24</v>
      </c>
      <c r="C13" s="75">
        <v>15.6</v>
      </c>
      <c r="D13" s="191">
        <v>13</v>
      </c>
      <c r="E13" s="76">
        <v>5.4</v>
      </c>
      <c r="F13" s="76">
        <v>4.6</v>
      </c>
      <c r="G13" s="76">
        <v>4.55</v>
      </c>
      <c r="H13" s="76">
        <v>8.8</v>
      </c>
      <c r="I13" s="76">
        <v>15.8</v>
      </c>
      <c r="J13" s="24">
        <v>15.6</v>
      </c>
      <c r="K13" s="24">
        <v>15.6</v>
      </c>
      <c r="L13" s="24">
        <v>14.9</v>
      </c>
      <c r="M13" s="97">
        <v>4.6</v>
      </c>
      <c r="N13" s="97">
        <v>15.8</v>
      </c>
      <c r="O13" s="47">
        <v>15.6</v>
      </c>
      <c r="P13" s="97"/>
      <c r="R13" s="32"/>
      <c r="S13" s="31"/>
      <c r="T13" s="31"/>
      <c r="V13" s="131" t="s">
        <v>119</v>
      </c>
      <c r="W13" s="133">
        <v>15.8</v>
      </c>
      <c r="X13" s="133">
        <v>4.6</v>
      </c>
      <c r="Y13" s="130"/>
    </row>
    <row r="14" spans="1:25" ht="12.75">
      <c r="A14" s="24" t="s">
        <v>118</v>
      </c>
      <c r="B14" s="191">
        <v>36</v>
      </c>
      <c r="C14" s="75">
        <v>23.4</v>
      </c>
      <c r="D14" s="191">
        <v>17.3</v>
      </c>
      <c r="E14" s="76">
        <v>7.2</v>
      </c>
      <c r="F14" s="76">
        <v>6.13</v>
      </c>
      <c r="G14" s="76">
        <v>6.17</v>
      </c>
      <c r="H14" s="76">
        <v>13.2</v>
      </c>
      <c r="I14" s="76">
        <v>23.6</v>
      </c>
      <c r="J14" s="76">
        <v>23.6</v>
      </c>
      <c r="K14" s="76">
        <v>23.5</v>
      </c>
      <c r="L14" s="76">
        <v>22.3</v>
      </c>
      <c r="M14" s="97">
        <v>6.13</v>
      </c>
      <c r="N14" s="97">
        <v>23.6</v>
      </c>
      <c r="O14" s="97">
        <v>23.6</v>
      </c>
      <c r="P14" s="97"/>
      <c r="R14" s="32"/>
      <c r="S14" s="31"/>
      <c r="T14" s="31"/>
      <c r="V14" s="131" t="s">
        <v>118</v>
      </c>
      <c r="W14" s="133">
        <v>23.6</v>
      </c>
      <c r="X14" s="133">
        <v>6.13</v>
      </c>
      <c r="Y14" s="130"/>
    </row>
    <row r="15" spans="1:25" ht="12.75">
      <c r="A15" s="67" t="s">
        <v>116</v>
      </c>
      <c r="B15" s="192">
        <f aca="true" t="shared" si="0" ref="B15:O15">SQRT(B13^2+B14^2)</f>
        <v>43.266615305567875</v>
      </c>
      <c r="C15" s="77">
        <f>SQRT(C13^2+C14^2)</f>
        <v>28.123299948619117</v>
      </c>
      <c r="D15" s="192">
        <f>SQRT(D13^2+D14^2)</f>
        <v>21.640009242142206</v>
      </c>
      <c r="E15" s="77">
        <f t="shared" si="0"/>
        <v>9</v>
      </c>
      <c r="F15" s="77">
        <f t="shared" si="0"/>
        <v>7.6640002609603295</v>
      </c>
      <c r="G15" s="77">
        <f t="shared" si="0"/>
        <v>7.6662507133539535</v>
      </c>
      <c r="H15" s="77">
        <f t="shared" si="0"/>
        <v>15.864425612041552</v>
      </c>
      <c r="I15" s="77">
        <f t="shared" si="0"/>
        <v>28.400704216621108</v>
      </c>
      <c r="J15" s="77">
        <f t="shared" si="0"/>
        <v>28.28992753613908</v>
      </c>
      <c r="K15" s="77">
        <f t="shared" si="0"/>
        <v>28.20655952079232</v>
      </c>
      <c r="L15" s="77">
        <f t="shared" si="0"/>
        <v>26.819768828235638</v>
      </c>
      <c r="M15" s="98">
        <f t="shared" si="0"/>
        <v>7.6640002609603295</v>
      </c>
      <c r="N15" s="98">
        <f t="shared" si="0"/>
        <v>28.400704216621108</v>
      </c>
      <c r="O15" s="98">
        <f t="shared" si="0"/>
        <v>28.28992753613908</v>
      </c>
      <c r="P15" s="98"/>
      <c r="R15" s="32"/>
      <c r="S15" s="31"/>
      <c r="T15" s="31"/>
      <c r="V15" s="131" t="s">
        <v>116</v>
      </c>
      <c r="W15" s="138">
        <f>SQRT(W13^2+W14^2)</f>
        <v>28.400704216621108</v>
      </c>
      <c r="X15" s="138">
        <f>SQRT(X13^2+X14^2)</f>
        <v>7.6640002609603295</v>
      </c>
      <c r="Y15" s="130"/>
    </row>
    <row r="16" spans="1:25" ht="12.75">
      <c r="A16" s="24" t="s">
        <v>2</v>
      </c>
      <c r="B16" s="193">
        <v>50</v>
      </c>
      <c r="C16" s="68">
        <v>100</v>
      </c>
      <c r="D16" s="193">
        <v>50</v>
      </c>
      <c r="E16" s="68">
        <v>24</v>
      </c>
      <c r="F16" s="68">
        <v>90</v>
      </c>
      <c r="G16" s="68">
        <v>90</v>
      </c>
      <c r="H16" s="68">
        <v>220</v>
      </c>
      <c r="I16" s="68">
        <v>105</v>
      </c>
      <c r="J16" s="68">
        <v>105</v>
      </c>
      <c r="K16" s="68">
        <v>600</v>
      </c>
      <c r="L16" s="68">
        <v>400</v>
      </c>
      <c r="M16" s="99">
        <v>28</v>
      </c>
      <c r="N16" s="99">
        <v>105</v>
      </c>
      <c r="O16" s="99">
        <v>400</v>
      </c>
      <c r="P16" s="99"/>
      <c r="R16" s="27" t="s">
        <v>2</v>
      </c>
      <c r="S16" s="27">
        <v>30</v>
      </c>
      <c r="T16" s="27">
        <v>6</v>
      </c>
      <c r="V16" s="131" t="s">
        <v>2</v>
      </c>
      <c r="W16" s="131">
        <v>105</v>
      </c>
      <c r="X16" s="131">
        <v>28</v>
      </c>
      <c r="Y16" s="130"/>
    </row>
    <row r="17" spans="1:25" ht="12.75">
      <c r="A17" s="24" t="s">
        <v>100</v>
      </c>
      <c r="B17" s="194">
        <f aca="true" t="shared" si="1" ref="B17:O17">B16*$B15/B15</f>
        <v>50</v>
      </c>
      <c r="C17" s="69">
        <f>C16*$B15/C15</f>
        <v>153.84615384615387</v>
      </c>
      <c r="D17" s="194">
        <f t="shared" si="1"/>
        <v>99.96903148569264</v>
      </c>
      <c r="E17" s="69">
        <f t="shared" si="1"/>
        <v>115.37764081484767</v>
      </c>
      <c r="F17" s="69">
        <f>F16*$B15/F15</f>
        <v>508.0891499099682</v>
      </c>
      <c r="G17" s="69">
        <f t="shared" si="1"/>
        <v>507.9399987164653</v>
      </c>
      <c r="H17" s="69">
        <f t="shared" si="1"/>
        <v>600</v>
      </c>
      <c r="I17" s="69">
        <f t="shared" si="1"/>
        <v>159.96063239959747</v>
      </c>
      <c r="J17" s="69">
        <f t="shared" si="1"/>
        <v>160.58700048917274</v>
      </c>
      <c r="K17" s="69">
        <f t="shared" si="1"/>
        <v>920.3522026216797</v>
      </c>
      <c r="L17" s="69">
        <f t="shared" si="1"/>
        <v>645.2943809122937</v>
      </c>
      <c r="M17" s="100">
        <f t="shared" si="1"/>
        <v>158.07217997199012</v>
      </c>
      <c r="N17" s="100">
        <f t="shared" si="1"/>
        <v>159.96063239959747</v>
      </c>
      <c r="O17" s="100">
        <f t="shared" si="1"/>
        <v>611.7600018635151</v>
      </c>
      <c r="P17" s="100"/>
      <c r="R17" s="27"/>
      <c r="S17" s="27"/>
      <c r="T17" s="27"/>
      <c r="V17" s="131" t="s">
        <v>100</v>
      </c>
      <c r="W17" s="134">
        <f>W16*$B$15/W15</f>
        <v>159.96063239959747</v>
      </c>
      <c r="X17" s="134">
        <f>X16*$B$15/X15</f>
        <v>158.07217997199012</v>
      </c>
      <c r="Y17" s="130"/>
    </row>
    <row r="18" spans="1:25" ht="12.75">
      <c r="A18" s="24" t="s">
        <v>3</v>
      </c>
      <c r="B18" s="195">
        <v>11</v>
      </c>
      <c r="C18" s="46">
        <v>4</v>
      </c>
      <c r="D18" s="195">
        <v>2</v>
      </c>
      <c r="E18" s="46">
        <v>2.8</v>
      </c>
      <c r="F18" s="46">
        <v>5.6</v>
      </c>
      <c r="G18" s="46">
        <v>5.6</v>
      </c>
      <c r="H18" s="46">
        <v>4</v>
      </c>
      <c r="I18" s="46">
        <v>5.6</v>
      </c>
      <c r="J18" s="46">
        <v>5.6</v>
      </c>
      <c r="K18" s="46">
        <v>8</v>
      </c>
      <c r="L18" s="46">
        <v>5.6</v>
      </c>
      <c r="M18" s="101">
        <v>4</v>
      </c>
      <c r="N18" s="101">
        <v>13</v>
      </c>
      <c r="O18" s="101">
        <v>8</v>
      </c>
      <c r="P18" s="101"/>
      <c r="R18" s="27" t="s">
        <v>3</v>
      </c>
      <c r="S18" s="27">
        <v>2.8</v>
      </c>
      <c r="T18" s="27">
        <v>2.8</v>
      </c>
      <c r="V18" s="131" t="s">
        <v>3</v>
      </c>
      <c r="W18" s="131">
        <v>18.2</v>
      </c>
      <c r="X18" s="131">
        <v>4</v>
      </c>
      <c r="Y18" s="130"/>
    </row>
    <row r="19" spans="1:25" ht="12.75">
      <c r="A19" s="24" t="s">
        <v>212</v>
      </c>
      <c r="B19" s="195"/>
      <c r="C19" s="46"/>
      <c r="D19" s="195"/>
      <c r="E19" s="142">
        <v>0.0035</v>
      </c>
      <c r="F19" s="142">
        <v>0.0017</v>
      </c>
      <c r="G19" s="142">
        <v>0.00154</v>
      </c>
      <c r="H19" s="142">
        <v>0.0024123</v>
      </c>
      <c r="I19" s="142">
        <v>0.0055</v>
      </c>
      <c r="J19" s="142">
        <v>0.0048</v>
      </c>
      <c r="K19" s="142">
        <f>K14/6000</f>
        <v>0.003916666666666666</v>
      </c>
      <c r="L19" s="142">
        <v>0.0043</v>
      </c>
      <c r="M19" s="143">
        <v>0.0017</v>
      </c>
      <c r="N19" s="143">
        <v>0.0054</v>
      </c>
      <c r="O19" s="143">
        <v>0.0048</v>
      </c>
      <c r="P19" s="102"/>
      <c r="R19" s="206"/>
      <c r="S19" s="27"/>
      <c r="T19" s="27"/>
      <c r="V19" s="131"/>
      <c r="W19" s="131"/>
      <c r="X19" s="131"/>
      <c r="Y19" s="130"/>
    </row>
    <row r="20" spans="1:25" ht="12.75">
      <c r="A20" s="24" t="s">
        <v>183</v>
      </c>
      <c r="B20" s="195"/>
      <c r="C20" s="46"/>
      <c r="D20" s="195"/>
      <c r="E20" s="71">
        <v>2</v>
      </c>
      <c r="F20" s="71">
        <v>2.94</v>
      </c>
      <c r="G20" s="71">
        <v>3</v>
      </c>
      <c r="H20" s="71">
        <v>4.6</v>
      </c>
      <c r="I20" s="71">
        <v>3.6</v>
      </c>
      <c r="J20" s="71">
        <v>4</v>
      </c>
      <c r="K20" s="71">
        <v>5</v>
      </c>
      <c r="L20" s="71">
        <v>4.4</v>
      </c>
      <c r="M20" s="103">
        <v>2.9</v>
      </c>
      <c r="N20" s="103">
        <v>3.6</v>
      </c>
      <c r="O20" s="103">
        <v>4</v>
      </c>
      <c r="P20" s="103"/>
      <c r="R20" s="206"/>
      <c r="S20" s="27"/>
      <c r="T20" s="27"/>
      <c r="V20" s="131"/>
      <c r="W20" s="131"/>
      <c r="X20" s="131"/>
      <c r="Y20" s="130"/>
    </row>
    <row r="21" spans="1:25" ht="12.75">
      <c r="A21" s="24" t="s">
        <v>184</v>
      </c>
      <c r="B21" s="196">
        <v>0.03</v>
      </c>
      <c r="C21" s="70">
        <f>C22</f>
        <v>0.019499999999999997</v>
      </c>
      <c r="D21" s="196">
        <f>D22</f>
        <v>0.015004646716165063</v>
      </c>
      <c r="E21" s="79">
        <f>E19*E20</f>
        <v>0.007</v>
      </c>
      <c r="F21" s="79">
        <f aca="true" t="shared" si="2" ref="F21:O21">F19*F20</f>
        <v>0.004998</v>
      </c>
      <c r="G21" s="79">
        <f t="shared" si="2"/>
        <v>0.00462</v>
      </c>
      <c r="H21" s="79">
        <f t="shared" si="2"/>
        <v>0.01109658</v>
      </c>
      <c r="I21" s="79">
        <f t="shared" si="2"/>
        <v>0.019799999999999998</v>
      </c>
      <c r="J21" s="79">
        <f t="shared" si="2"/>
        <v>0.0192</v>
      </c>
      <c r="K21" s="79">
        <f t="shared" si="2"/>
        <v>0.01958333333333333</v>
      </c>
      <c r="L21" s="79">
        <f t="shared" si="2"/>
        <v>0.018920000000000003</v>
      </c>
      <c r="M21" s="104">
        <f t="shared" si="2"/>
        <v>0.0049299999999999995</v>
      </c>
      <c r="N21" s="104">
        <f t="shared" si="2"/>
        <v>0.019440000000000002</v>
      </c>
      <c r="O21" s="104">
        <f t="shared" si="2"/>
        <v>0.0192</v>
      </c>
      <c r="P21" s="104"/>
      <c r="R21" s="27" t="s">
        <v>4</v>
      </c>
      <c r="S21" s="28">
        <v>0.03333333333333333</v>
      </c>
      <c r="T21" s="28">
        <v>0.006666666666666666</v>
      </c>
      <c r="V21" s="131" t="s">
        <v>4</v>
      </c>
      <c r="W21" s="139">
        <f>W14/1200</f>
        <v>0.01966666666666667</v>
      </c>
      <c r="X21" s="139">
        <f>X14/1200</f>
        <v>0.005108333333333334</v>
      </c>
      <c r="Y21" s="130"/>
    </row>
    <row r="22" spans="1:25" ht="12.75">
      <c r="A22" s="24" t="s">
        <v>115</v>
      </c>
      <c r="B22" s="201">
        <v>0.03</v>
      </c>
      <c r="C22" s="79">
        <f>$B22*C15/$B15</f>
        <v>0.019499999999999997</v>
      </c>
      <c r="D22" s="202">
        <f>$B22*D15/$B15</f>
        <v>0.015004646716165063</v>
      </c>
      <c r="E22" s="79">
        <f>$B22*E15/$B15</f>
        <v>0.006240377207533828</v>
      </c>
      <c r="F22" s="79">
        <f aca="true" t="shared" si="3" ref="F22:O22">$B22*F15/$B15</f>
        <v>0.005314028060781127</v>
      </c>
      <c r="G22" s="79">
        <f t="shared" si="3"/>
        <v>0.00531558846876155</v>
      </c>
      <c r="H22" s="79">
        <f t="shared" si="3"/>
        <v>0.010999999999999998</v>
      </c>
      <c r="I22" s="79">
        <f t="shared" si="3"/>
        <v>0.019692345252368022</v>
      </c>
      <c r="J22" s="79">
        <f t="shared" si="3"/>
        <v>0.01961553544436732</v>
      </c>
      <c r="K22" s="79">
        <f>$B22*K15/$B15</f>
        <v>0.01955773012627763</v>
      </c>
      <c r="L22" s="79">
        <f>$B22*L15/$B15</f>
        <v>0.01859616378967199</v>
      </c>
      <c r="M22" s="104">
        <f t="shared" si="3"/>
        <v>0.005314028060781127</v>
      </c>
      <c r="N22" s="104">
        <f t="shared" si="3"/>
        <v>0.019692345252368022</v>
      </c>
      <c r="O22" s="104">
        <f t="shared" si="3"/>
        <v>0.01961553544436732</v>
      </c>
      <c r="P22" s="104"/>
      <c r="R22" s="27"/>
      <c r="S22" s="28"/>
      <c r="T22" s="28"/>
      <c r="V22" s="131"/>
      <c r="W22" s="132"/>
      <c r="X22" s="132"/>
      <c r="Y22" s="130"/>
    </row>
    <row r="23" spans="1:25" ht="12.75">
      <c r="A23" s="24" t="s">
        <v>5</v>
      </c>
      <c r="B23" s="197">
        <f>B16^2/(B18*B21)/1000</f>
        <v>7.575757575757577</v>
      </c>
      <c r="C23" s="72">
        <f>C16^2/(C18*C21)/1000</f>
        <v>128.20512820512823</v>
      </c>
      <c r="D23" s="197">
        <f>D16^2/(D18*D21)/1000</f>
        <v>83.3075262380772</v>
      </c>
      <c r="E23" s="72">
        <f aca="true" t="shared" si="4" ref="E23:O23">E16^2/(E18*E21)/1000</f>
        <v>29.387755102040817</v>
      </c>
      <c r="F23" s="72">
        <f t="shared" si="4"/>
        <v>289.4014748756646</v>
      </c>
      <c r="G23" s="72">
        <f t="shared" si="4"/>
        <v>313.0797773654917</v>
      </c>
      <c r="H23" s="72">
        <f>H16^2/(H18*H21)/1000</f>
        <v>1090.4260592002222</v>
      </c>
      <c r="I23" s="72">
        <f t="shared" si="4"/>
        <v>99.4318181818182</v>
      </c>
      <c r="J23" s="72">
        <f t="shared" si="4"/>
        <v>102.53906250000001</v>
      </c>
      <c r="K23" s="72">
        <f>K16^2/(K18*K21)/1000</f>
        <v>2297.8723404255325</v>
      </c>
      <c r="L23" s="72">
        <f>L16^2/(L18*L21)/1000</f>
        <v>1510.1177891875566</v>
      </c>
      <c r="M23" s="105">
        <f t="shared" si="4"/>
        <v>39.75659229208925</v>
      </c>
      <c r="N23" s="105">
        <f t="shared" si="4"/>
        <v>43.62535612535611</v>
      </c>
      <c r="O23" s="105">
        <f t="shared" si="4"/>
        <v>1041.6666666666667</v>
      </c>
      <c r="P23" s="105"/>
      <c r="R23" s="27" t="s">
        <v>5</v>
      </c>
      <c r="S23" s="27">
        <v>9.64</v>
      </c>
      <c r="T23" s="27">
        <v>1.93</v>
      </c>
      <c r="V23" s="131" t="s">
        <v>5</v>
      </c>
      <c r="W23" s="135">
        <f>W16^2/(W18*W21)/1000</f>
        <v>30.801825293350714</v>
      </c>
      <c r="X23" s="135">
        <f>X16^2/(X18*X21)/1000</f>
        <v>38.368678629690045</v>
      </c>
      <c r="Y23" s="130"/>
    </row>
    <row r="24" spans="1:25" ht="12.75">
      <c r="A24" s="24" t="s">
        <v>6</v>
      </c>
      <c r="B24" s="195">
        <v>2</v>
      </c>
      <c r="C24" s="46">
        <v>20</v>
      </c>
      <c r="D24" s="195">
        <v>20</v>
      </c>
      <c r="E24" s="46">
        <v>1.5</v>
      </c>
      <c r="F24" s="46">
        <v>1.5</v>
      </c>
      <c r="G24" s="46">
        <v>1.5</v>
      </c>
      <c r="H24" s="46">
        <v>53</v>
      </c>
      <c r="I24" s="46">
        <v>0.4</v>
      </c>
      <c r="J24" s="46">
        <v>1.5</v>
      </c>
      <c r="K24" s="46">
        <v>53</v>
      </c>
      <c r="L24" s="46">
        <v>57</v>
      </c>
      <c r="M24" s="101">
        <v>0.4</v>
      </c>
      <c r="N24" s="101">
        <v>0.4</v>
      </c>
      <c r="O24" s="101">
        <v>6</v>
      </c>
      <c r="P24" s="101"/>
      <c r="R24" s="27" t="s">
        <v>6</v>
      </c>
      <c r="S24" s="27">
        <v>1.5</v>
      </c>
      <c r="T24" s="27">
        <v>1.5</v>
      </c>
      <c r="V24" s="131" t="s">
        <v>6</v>
      </c>
      <c r="W24" s="131">
        <v>0.4</v>
      </c>
      <c r="X24" s="131">
        <v>0.4</v>
      </c>
      <c r="Y24" s="130"/>
    </row>
    <row r="25" spans="1:25" ht="12.75">
      <c r="A25" s="24" t="s">
        <v>93</v>
      </c>
      <c r="B25" s="198">
        <f>B23*B24/(B23+B24-B16/1000)</f>
        <v>1.590583744234134</v>
      </c>
      <c r="C25" s="123">
        <f aca="true" t="shared" si="5" ref="C25:O25">C23*C24/(C23+C24-C16/1000)</f>
        <v>17.31271965513062</v>
      </c>
      <c r="D25" s="198">
        <f t="shared" si="5"/>
        <v>16.135874889351506</v>
      </c>
      <c r="E25" s="123">
        <f t="shared" si="5"/>
        <v>1.4282653717060632</v>
      </c>
      <c r="F25" s="123">
        <f t="shared" si="5"/>
        <v>1.4927272470905617</v>
      </c>
      <c r="G25" s="123">
        <f t="shared" si="5"/>
        <v>1.4932748211477092</v>
      </c>
      <c r="H25" s="123">
        <f t="shared" si="5"/>
        <v>50.553074550744604</v>
      </c>
      <c r="I25" s="123">
        <f t="shared" si="5"/>
        <v>0.3988167676242827</v>
      </c>
      <c r="J25" s="123">
        <f t="shared" si="5"/>
        <v>1.4798670431072587</v>
      </c>
      <c r="K25" s="123">
        <f t="shared" si="5"/>
        <v>51.81834970686964</v>
      </c>
      <c r="L25" s="123">
        <f t="shared" si="5"/>
        <v>54.94079059913338</v>
      </c>
      <c r="M25" s="124">
        <f t="shared" si="5"/>
        <v>0.39629192076021735</v>
      </c>
      <c r="N25" s="124">
        <f t="shared" si="5"/>
        <v>0.3973133186884185</v>
      </c>
      <c r="O25" s="124">
        <f t="shared" si="5"/>
        <v>5.967916480998154</v>
      </c>
      <c r="P25" s="105"/>
      <c r="R25" s="27" t="s">
        <v>7</v>
      </c>
      <c r="S25" s="29" t="s">
        <v>71</v>
      </c>
      <c r="T25" s="29" t="s">
        <v>72</v>
      </c>
      <c r="U25" s="15"/>
      <c r="V25" s="131" t="s">
        <v>7</v>
      </c>
      <c r="W25" s="136">
        <f>W23*W24/(W23+W24-W16/1000)</f>
        <v>0.3962054004263506</v>
      </c>
      <c r="X25" s="136">
        <f>X23*X24/(X23+X24-X16/1000)</f>
        <v>0.3961590760600161</v>
      </c>
      <c r="Y25" s="130"/>
    </row>
    <row r="26" spans="1:25" ht="12.75">
      <c r="A26" s="24" t="s">
        <v>94</v>
      </c>
      <c r="B26" s="198">
        <f>IF(B23*B24/(B23-B24+B16/1000)&lt;0,"infini",B23*B24/(B23-B24+B16/1000))</f>
        <v>2.6932399676811203</v>
      </c>
      <c r="C26" s="123">
        <f>IF(C23*C24/(C23-C24+C16/1000)&lt;0,"infini",C23*C24/(C23-C24+C16/1000))</f>
        <v>23.674802907265796</v>
      </c>
      <c r="D26" s="198">
        <f>IF(D23*D24/(D23-D24+D16/1000)&lt;0,"infini",D23*D24/(D23-D24+D16/1000))</f>
        <v>26.297594361570976</v>
      </c>
      <c r="E26" s="123">
        <f aca="true" t="shared" si="6" ref="E26:O26">IF(E23*E24/(E23-E24+E16/1000)&lt;0,"infini",E23*E24/(E23-E24+E16/1000))</f>
        <v>1.5793214182306337</v>
      </c>
      <c r="F26" s="123">
        <f t="shared" si="6"/>
        <v>1.5073439673897053</v>
      </c>
      <c r="G26" s="123">
        <f t="shared" si="6"/>
        <v>1.5067860285263392</v>
      </c>
      <c r="H26" s="123">
        <f>IF(H23*H24/(H23-H24+H16/1000)&lt;0,"infini",H23*H24/(H23-H24+H16/1000))</f>
        <v>55.69585180341366</v>
      </c>
      <c r="I26" s="123">
        <f t="shared" si="6"/>
        <v>0.4011902742307463</v>
      </c>
      <c r="J26" s="123">
        <f t="shared" si="6"/>
        <v>1.5206883127716964</v>
      </c>
      <c r="K26" s="123">
        <f>IF(K23*K24/(K23-K24+K16/1000)&lt;0,"infini",K23*K24/(K23-K24+K16/1000))</f>
        <v>54.236799915101024</v>
      </c>
      <c r="L26" s="123">
        <f>IF(L23*L24/(L23-L24+L16/1000)&lt;0,"infini",L23*L24/(L23-L24+L16/1000))</f>
        <v>59.219580677993136</v>
      </c>
      <c r="M26" s="124">
        <f t="shared" si="6"/>
        <v>0.40377812721524325</v>
      </c>
      <c r="N26" s="124">
        <f t="shared" si="6"/>
        <v>0.4027232640243857</v>
      </c>
      <c r="O26" s="124">
        <f t="shared" si="6"/>
        <v>6.032430345537609</v>
      </c>
      <c r="P26" s="105"/>
      <c r="R26" s="27"/>
      <c r="S26" s="29"/>
      <c r="T26" s="29"/>
      <c r="U26" s="15"/>
      <c r="V26" s="131"/>
      <c r="W26" s="136">
        <f>IF(W23*W24/(W23-W24+W16/1000)&lt;0,"infini",W23*W24/(W23-W24+W16/1000))</f>
        <v>0.40386798688048736</v>
      </c>
      <c r="X26" s="136">
        <f>IF(X23*X24/(X23-X24+X16/1000)&lt;0,"infini",X23*X24/(X23-X24+X16/1000))</f>
        <v>0.4039161317611516</v>
      </c>
      <c r="Y26" s="130"/>
    </row>
    <row r="27" spans="1:25" ht="12.75">
      <c r="A27" s="24" t="s">
        <v>8</v>
      </c>
      <c r="B27" s="198">
        <f aca="true" t="shared" si="7" ref="B27:O27">B26-B25</f>
        <v>1.1026562234469863</v>
      </c>
      <c r="C27" s="123">
        <f t="shared" si="7"/>
        <v>6.362083252135175</v>
      </c>
      <c r="D27" s="198">
        <f t="shared" si="7"/>
        <v>10.16171947221947</v>
      </c>
      <c r="E27" s="123">
        <f t="shared" si="7"/>
        <v>0.1510560465245705</v>
      </c>
      <c r="F27" s="123">
        <f t="shared" si="7"/>
        <v>0.014616720299143626</v>
      </c>
      <c r="G27" s="123">
        <f t="shared" si="7"/>
        <v>0.013511207378630097</v>
      </c>
      <c r="H27" s="123">
        <f t="shared" si="7"/>
        <v>5.142777252669056</v>
      </c>
      <c r="I27" s="123">
        <f t="shared" si="7"/>
        <v>0.0023735066064636268</v>
      </c>
      <c r="J27" s="123">
        <f t="shared" si="7"/>
        <v>0.040821269664437665</v>
      </c>
      <c r="K27" s="123">
        <f t="shared" si="7"/>
        <v>2.418450208231384</v>
      </c>
      <c r="L27" s="123">
        <f t="shared" si="7"/>
        <v>4.278790078859757</v>
      </c>
      <c r="M27" s="124">
        <f t="shared" si="7"/>
        <v>0.007486206455025901</v>
      </c>
      <c r="N27" s="124">
        <f t="shared" si="7"/>
        <v>0.00540994533596717</v>
      </c>
      <c r="O27" s="124">
        <f t="shared" si="7"/>
        <v>0.06451386453945496</v>
      </c>
      <c r="P27" s="105"/>
      <c r="R27" s="27" t="s">
        <v>8</v>
      </c>
      <c r="S27" s="27">
        <v>0.47</v>
      </c>
      <c r="T27" s="27">
        <v>5.81</v>
      </c>
      <c r="V27" s="131" t="s">
        <v>8</v>
      </c>
      <c r="W27" s="136">
        <f>W26-W25</f>
        <v>0.007662586454136755</v>
      </c>
      <c r="X27" s="136">
        <f>X26-X25</f>
        <v>0.007757055701135496</v>
      </c>
      <c r="Y27" s="130"/>
    </row>
    <row r="28" spans="1:25" ht="12.75">
      <c r="A28" s="24" t="s">
        <v>9</v>
      </c>
      <c r="B28" s="199">
        <f>B18*B21</f>
        <v>0.32999999999999996</v>
      </c>
      <c r="C28" s="73">
        <f>C18*C21</f>
        <v>0.07799999999999999</v>
      </c>
      <c r="D28" s="199">
        <f>D18*D21</f>
        <v>0.030009293432330126</v>
      </c>
      <c r="E28" s="73">
        <f aca="true" t="shared" si="8" ref="E28:O28">E18*E21</f>
        <v>0.0196</v>
      </c>
      <c r="F28" s="73">
        <f t="shared" si="8"/>
        <v>0.027988799999999998</v>
      </c>
      <c r="G28" s="73">
        <f t="shared" si="8"/>
        <v>0.025872</v>
      </c>
      <c r="H28" s="73">
        <f>H18*H21</f>
        <v>0.04438632</v>
      </c>
      <c r="I28" s="73">
        <f t="shared" si="8"/>
        <v>0.11087999999999998</v>
      </c>
      <c r="J28" s="73">
        <f t="shared" si="8"/>
        <v>0.10751999999999999</v>
      </c>
      <c r="K28" s="73">
        <f t="shared" si="8"/>
        <v>0.15666666666666665</v>
      </c>
      <c r="L28" s="73">
        <f>L18*L21</f>
        <v>0.105952</v>
      </c>
      <c r="M28" s="106">
        <f t="shared" si="8"/>
        <v>0.019719999999999998</v>
      </c>
      <c r="N28" s="106">
        <f t="shared" si="8"/>
        <v>0.25272000000000006</v>
      </c>
      <c r="O28" s="106">
        <f t="shared" si="8"/>
        <v>0.1536</v>
      </c>
      <c r="P28" s="106"/>
      <c r="R28" s="27" t="s">
        <v>9</v>
      </c>
      <c r="S28" s="30">
        <v>0.0933333333333333</v>
      </c>
      <c r="T28" s="30">
        <v>0.018666666666666665</v>
      </c>
      <c r="V28" s="207" t="s">
        <v>9</v>
      </c>
      <c r="W28" s="137">
        <f>W18*W21</f>
        <v>0.3579333333333334</v>
      </c>
      <c r="X28" s="137">
        <f>X18*X21</f>
        <v>0.020433333333333335</v>
      </c>
      <c r="Y28" s="130"/>
    </row>
    <row r="29" spans="1:25" ht="12.75">
      <c r="A29" s="49" t="s">
        <v>117</v>
      </c>
      <c r="B29" s="51">
        <f aca="true" t="shared" si="9" ref="B29:O29">B13*B14/B21^2/1000000</f>
        <v>0.96</v>
      </c>
      <c r="C29" s="33">
        <f>C13*C14/C21^2/1000000</f>
        <v>0.9600000000000003</v>
      </c>
      <c r="D29" s="51">
        <f>D13*D14/D21^2/1000000</f>
        <v>0.9989365564073548</v>
      </c>
      <c r="E29" s="33">
        <f t="shared" si="9"/>
        <v>0.793469387755102</v>
      </c>
      <c r="F29" s="33">
        <f t="shared" si="9"/>
        <v>1.128822877690492</v>
      </c>
      <c r="G29" s="33">
        <f t="shared" si="9"/>
        <v>1.3152630198084745</v>
      </c>
      <c r="H29" s="33">
        <f>H13*H14/H21^2/1000000</f>
        <v>0.9433618437682719</v>
      </c>
      <c r="I29" s="33">
        <f t="shared" si="9"/>
        <v>0.9511274359759212</v>
      </c>
      <c r="J29" s="33">
        <f t="shared" si="9"/>
        <v>0.9986979166666669</v>
      </c>
      <c r="K29" s="33">
        <f t="shared" si="9"/>
        <v>0.9559148936170214</v>
      </c>
      <c r="L29" s="33">
        <f>L13*L14/L21^2/1000000</f>
        <v>0.9282156090627498</v>
      </c>
      <c r="M29" s="107">
        <f t="shared" si="9"/>
        <v>1.160177577360944</v>
      </c>
      <c r="N29" s="107">
        <f t="shared" si="9"/>
        <v>0.9866805534386694</v>
      </c>
      <c r="O29" s="107">
        <f t="shared" si="9"/>
        <v>0.9986979166666669</v>
      </c>
      <c r="P29" s="107"/>
      <c r="V29" s="130"/>
      <c r="W29" s="130"/>
      <c r="X29" s="130"/>
      <c r="Y29" s="130"/>
    </row>
    <row r="31" ht="12.75">
      <c r="A31" s="11" t="s">
        <v>120</v>
      </c>
    </row>
    <row r="32" spans="1:2" ht="12.75">
      <c r="A32" s="26" t="s">
        <v>121</v>
      </c>
      <c r="B32" s="78">
        <f>1/30</f>
        <v>0.03333333333333333</v>
      </c>
    </row>
    <row r="33" spans="2:14" ht="12.75">
      <c r="B33" s="3" t="s">
        <v>10</v>
      </c>
      <c r="C33" s="3" t="s">
        <v>10</v>
      </c>
      <c r="D33" s="3" t="s">
        <v>10</v>
      </c>
      <c r="E33" s="3" t="s">
        <v>10</v>
      </c>
      <c r="F33" s="3" t="s">
        <v>10</v>
      </c>
      <c r="G33" s="3" t="s">
        <v>10</v>
      </c>
      <c r="H33" s="3" t="s">
        <v>10</v>
      </c>
      <c r="I33" s="3" t="s">
        <v>10</v>
      </c>
      <c r="J33" s="3" t="s">
        <v>10</v>
      </c>
      <c r="L33" s="3"/>
      <c r="N33" s="3"/>
    </row>
    <row r="34" spans="1:14" ht="12.75">
      <c r="A34" s="3" t="s">
        <v>3</v>
      </c>
      <c r="B34" s="10">
        <v>28</v>
      </c>
      <c r="C34" s="10">
        <v>35</v>
      </c>
      <c r="D34" s="10">
        <v>50</v>
      </c>
      <c r="E34" s="10">
        <v>70</v>
      </c>
      <c r="F34" s="10">
        <v>100</v>
      </c>
      <c r="G34" s="10">
        <v>135</v>
      </c>
      <c r="H34" s="10">
        <v>200</v>
      </c>
      <c r="I34" s="10">
        <v>300</v>
      </c>
      <c r="J34" s="10">
        <v>500</v>
      </c>
      <c r="L34" s="10"/>
      <c r="N34" s="10"/>
    </row>
    <row r="35" spans="1:17" ht="12.75">
      <c r="A35">
        <v>1.8</v>
      </c>
      <c r="B35" s="5">
        <f aca="true" t="shared" si="10" ref="B35:G44">B$34^2/$A35/g/1000</f>
        <v>13.066666666666666</v>
      </c>
      <c r="C35" s="5">
        <f t="shared" si="10"/>
        <v>20.416666666666668</v>
      </c>
      <c r="D35" s="6">
        <f t="shared" si="10"/>
        <v>41.66666666666667</v>
      </c>
      <c r="E35" s="6">
        <f t="shared" si="10"/>
        <v>81.66666666666667</v>
      </c>
      <c r="F35" s="6">
        <f t="shared" si="10"/>
        <v>166.66666666666669</v>
      </c>
      <c r="G35" s="25">
        <f t="shared" si="10"/>
        <v>303.75</v>
      </c>
      <c r="H35" s="25">
        <f aca="true" t="shared" si="11" ref="H35:J44">H$34^2/$A35/g/1000</f>
        <v>666.6666666666667</v>
      </c>
      <c r="I35" s="25">
        <f t="shared" si="11"/>
        <v>1500</v>
      </c>
      <c r="J35" s="25">
        <f t="shared" si="11"/>
        <v>4166.666666666666</v>
      </c>
      <c r="L35" s="25"/>
      <c r="N35" s="25"/>
      <c r="O35" s="5"/>
      <c r="P35" s="5"/>
      <c r="Q35" s="5"/>
    </row>
    <row r="36" spans="1:17" ht="12.75">
      <c r="A36">
        <v>2</v>
      </c>
      <c r="B36" s="5">
        <f t="shared" si="10"/>
        <v>11.76</v>
      </c>
      <c r="C36" s="5">
        <f t="shared" si="10"/>
        <v>18.375</v>
      </c>
      <c r="D36" s="6">
        <f t="shared" si="10"/>
        <v>37.5</v>
      </c>
      <c r="E36" s="6">
        <f t="shared" si="10"/>
        <v>73.5</v>
      </c>
      <c r="F36" s="6">
        <f t="shared" si="10"/>
        <v>150</v>
      </c>
      <c r="G36" s="25">
        <f t="shared" si="10"/>
        <v>273.375</v>
      </c>
      <c r="H36" s="25">
        <f t="shared" si="11"/>
        <v>600</v>
      </c>
      <c r="I36" s="25">
        <f t="shared" si="11"/>
        <v>1350</v>
      </c>
      <c r="J36" s="25">
        <f t="shared" si="11"/>
        <v>3750</v>
      </c>
      <c r="L36" s="25"/>
      <c r="N36" s="25"/>
      <c r="O36" s="5"/>
      <c r="P36" s="5"/>
      <c r="Q36" s="5"/>
    </row>
    <row r="37" spans="1:17" ht="12.75">
      <c r="A37">
        <v>2.8</v>
      </c>
      <c r="B37" s="5">
        <f t="shared" si="10"/>
        <v>8.4</v>
      </c>
      <c r="C37" s="5">
        <f t="shared" si="10"/>
        <v>13.125</v>
      </c>
      <c r="D37" s="6">
        <f t="shared" si="10"/>
        <v>26.785714285714285</v>
      </c>
      <c r="E37" s="6">
        <f t="shared" si="10"/>
        <v>52.5</v>
      </c>
      <c r="F37" s="6">
        <f t="shared" si="10"/>
        <v>107.14285714285714</v>
      </c>
      <c r="G37" s="25">
        <f t="shared" si="10"/>
        <v>195.26785714285717</v>
      </c>
      <c r="H37" s="25">
        <f t="shared" si="11"/>
        <v>428.57142857142856</v>
      </c>
      <c r="I37" s="25">
        <f t="shared" si="11"/>
        <v>964.2857142857143</v>
      </c>
      <c r="J37" s="25">
        <f t="shared" si="11"/>
        <v>2678.5714285714284</v>
      </c>
      <c r="L37" s="25"/>
      <c r="N37" s="25"/>
      <c r="O37" s="5"/>
      <c r="P37" s="5"/>
      <c r="Q37" s="5"/>
    </row>
    <row r="38" spans="1:17" ht="12.75">
      <c r="A38">
        <v>4</v>
      </c>
      <c r="B38" s="5">
        <f t="shared" si="10"/>
        <v>5.88</v>
      </c>
      <c r="C38" s="5">
        <f t="shared" si="10"/>
        <v>9.1875</v>
      </c>
      <c r="D38" s="6">
        <f t="shared" si="10"/>
        <v>18.75</v>
      </c>
      <c r="E38" s="6">
        <f t="shared" si="10"/>
        <v>36.75</v>
      </c>
      <c r="F38" s="6">
        <f t="shared" si="10"/>
        <v>75</v>
      </c>
      <c r="G38" s="25">
        <f t="shared" si="10"/>
        <v>136.6875</v>
      </c>
      <c r="H38" s="25">
        <f t="shared" si="11"/>
        <v>300</v>
      </c>
      <c r="I38" s="25">
        <f t="shared" si="11"/>
        <v>675</v>
      </c>
      <c r="J38" s="25">
        <f t="shared" si="11"/>
        <v>1875</v>
      </c>
      <c r="L38" s="25"/>
      <c r="N38" s="25"/>
      <c r="O38" s="5"/>
      <c r="P38" s="5"/>
      <c r="Q38" s="5"/>
    </row>
    <row r="39" spans="1:17" ht="12.75">
      <c r="A39">
        <v>5.6</v>
      </c>
      <c r="B39" s="5">
        <f t="shared" si="10"/>
        <v>4.2</v>
      </c>
      <c r="C39" s="5">
        <f t="shared" si="10"/>
        <v>6.5625</v>
      </c>
      <c r="D39" s="6">
        <f t="shared" si="10"/>
        <v>13.392857142857142</v>
      </c>
      <c r="E39" s="6">
        <f t="shared" si="10"/>
        <v>26.25</v>
      </c>
      <c r="F39" s="6">
        <f t="shared" si="10"/>
        <v>53.57142857142857</v>
      </c>
      <c r="G39" s="25">
        <f t="shared" si="10"/>
        <v>97.63392857142858</v>
      </c>
      <c r="H39" s="25">
        <f t="shared" si="11"/>
        <v>214.28571428571428</v>
      </c>
      <c r="I39" s="25">
        <f t="shared" si="11"/>
        <v>482.14285714285717</v>
      </c>
      <c r="J39" s="25">
        <f t="shared" si="11"/>
        <v>1339.2857142857142</v>
      </c>
      <c r="L39" s="25"/>
      <c r="N39" s="25"/>
      <c r="O39" s="5"/>
      <c r="P39" s="5"/>
      <c r="Q39" s="5"/>
    </row>
    <row r="40" spans="1:17" ht="12.75">
      <c r="A40">
        <v>8</v>
      </c>
      <c r="B40" s="5">
        <f t="shared" si="10"/>
        <v>2.94</v>
      </c>
      <c r="C40" s="5">
        <f t="shared" si="10"/>
        <v>4.59375</v>
      </c>
      <c r="D40" s="6">
        <f t="shared" si="10"/>
        <v>9.375</v>
      </c>
      <c r="E40" s="6">
        <f t="shared" si="10"/>
        <v>18.375</v>
      </c>
      <c r="F40" s="6">
        <f t="shared" si="10"/>
        <v>37.5</v>
      </c>
      <c r="G40" s="25">
        <f t="shared" si="10"/>
        <v>68.34375</v>
      </c>
      <c r="H40" s="25">
        <f t="shared" si="11"/>
        <v>150</v>
      </c>
      <c r="I40" s="25">
        <f t="shared" si="11"/>
        <v>337.5</v>
      </c>
      <c r="J40" s="25">
        <f t="shared" si="11"/>
        <v>937.5</v>
      </c>
      <c r="L40" s="25"/>
      <c r="N40" s="25"/>
      <c r="O40" s="5"/>
      <c r="P40" s="5"/>
      <c r="Q40" s="5"/>
    </row>
    <row r="41" spans="1:17" ht="12.75">
      <c r="A41">
        <v>11</v>
      </c>
      <c r="B41" s="5">
        <f t="shared" si="10"/>
        <v>2.138181818181818</v>
      </c>
      <c r="C41" s="5">
        <f t="shared" si="10"/>
        <v>3.340909090909091</v>
      </c>
      <c r="D41" s="6">
        <f t="shared" si="10"/>
        <v>6.818181818181819</v>
      </c>
      <c r="E41" s="6">
        <f t="shared" si="10"/>
        <v>13.363636363636363</v>
      </c>
      <c r="F41" s="6">
        <f t="shared" si="10"/>
        <v>27.272727272727277</v>
      </c>
      <c r="G41" s="25">
        <f t="shared" si="10"/>
        <v>49.70454545454545</v>
      </c>
      <c r="H41" s="25">
        <f t="shared" si="11"/>
        <v>109.09090909090911</v>
      </c>
      <c r="I41" s="25">
        <f t="shared" si="11"/>
        <v>245.45454545454547</v>
      </c>
      <c r="J41" s="25">
        <f t="shared" si="11"/>
        <v>681.8181818181819</v>
      </c>
      <c r="L41" s="25"/>
      <c r="N41" s="25"/>
      <c r="O41" s="5"/>
      <c r="P41" s="5"/>
      <c r="Q41" s="5"/>
    </row>
    <row r="42" spans="1:17" ht="12.75">
      <c r="A42">
        <v>16</v>
      </c>
      <c r="B42" s="5">
        <f t="shared" si="10"/>
        <v>1.47</v>
      </c>
      <c r="C42" s="5">
        <f t="shared" si="10"/>
        <v>2.296875</v>
      </c>
      <c r="D42" s="6">
        <f t="shared" si="10"/>
        <v>4.6875</v>
      </c>
      <c r="E42" s="6">
        <f t="shared" si="10"/>
        <v>9.1875</v>
      </c>
      <c r="F42" s="6">
        <f t="shared" si="10"/>
        <v>18.75</v>
      </c>
      <c r="G42" s="25">
        <f t="shared" si="10"/>
        <v>34.171875</v>
      </c>
      <c r="H42" s="25">
        <f t="shared" si="11"/>
        <v>75</v>
      </c>
      <c r="I42" s="25">
        <f t="shared" si="11"/>
        <v>168.75</v>
      </c>
      <c r="J42" s="25">
        <f t="shared" si="11"/>
        <v>468.75</v>
      </c>
      <c r="L42" s="25"/>
      <c r="N42" s="25"/>
      <c r="O42" s="5"/>
      <c r="P42" s="5"/>
      <c r="Q42" s="5"/>
    </row>
    <row r="43" spans="1:17" ht="12.75">
      <c r="A43">
        <v>22</v>
      </c>
      <c r="B43" s="5">
        <f t="shared" si="10"/>
        <v>1.069090909090909</v>
      </c>
      <c r="C43" s="5">
        <f t="shared" si="10"/>
        <v>1.6704545454545454</v>
      </c>
      <c r="D43" s="6">
        <f t="shared" si="10"/>
        <v>3.4090909090909096</v>
      </c>
      <c r="E43" s="6">
        <f t="shared" si="10"/>
        <v>6.681818181818182</v>
      </c>
      <c r="F43" s="6">
        <f t="shared" si="10"/>
        <v>13.636363636363638</v>
      </c>
      <c r="G43" s="25">
        <f t="shared" si="10"/>
        <v>24.852272727272727</v>
      </c>
      <c r="H43" s="25">
        <f t="shared" si="11"/>
        <v>54.545454545454554</v>
      </c>
      <c r="I43" s="25">
        <f t="shared" si="11"/>
        <v>122.72727272727273</v>
      </c>
      <c r="J43" s="25">
        <f t="shared" si="11"/>
        <v>340.90909090909093</v>
      </c>
      <c r="L43" s="25"/>
      <c r="N43" s="25"/>
      <c r="O43" s="5"/>
      <c r="P43" s="5"/>
      <c r="Q43" s="5"/>
    </row>
    <row r="44" spans="1:17" ht="12.75">
      <c r="A44">
        <v>32</v>
      </c>
      <c r="B44" s="5">
        <f>B$34^2/$A44/g/1000</f>
        <v>0.735</v>
      </c>
      <c r="C44" s="5">
        <f t="shared" si="10"/>
        <v>1.1484375</v>
      </c>
      <c r="D44" s="6">
        <f>D$34^2/$A44/g/1000</f>
        <v>2.34375</v>
      </c>
      <c r="E44" s="6">
        <f t="shared" si="10"/>
        <v>4.59375</v>
      </c>
      <c r="F44" s="6">
        <f>F$34^2/$A44/g/1000</f>
        <v>9.375</v>
      </c>
      <c r="G44" s="25">
        <f t="shared" si="10"/>
        <v>17.0859375</v>
      </c>
      <c r="H44" s="25">
        <f t="shared" si="11"/>
        <v>37.5</v>
      </c>
      <c r="I44" s="25">
        <f t="shared" si="11"/>
        <v>84.375</v>
      </c>
      <c r="J44" s="25">
        <f t="shared" si="11"/>
        <v>234.375</v>
      </c>
      <c r="L44" s="25"/>
      <c r="N44" s="25"/>
      <c r="O44" s="5"/>
      <c r="P44" s="5"/>
      <c r="Q44" s="5"/>
    </row>
    <row r="45" spans="2:17" ht="12.75">
      <c r="B45" s="5"/>
      <c r="C45" s="5"/>
      <c r="D45" s="5"/>
      <c r="E45" s="5"/>
      <c r="F45" s="5"/>
      <c r="G45" s="5"/>
      <c r="H45" s="5"/>
      <c r="I45" s="5"/>
      <c r="J45" s="5"/>
      <c r="K45" s="5"/>
      <c r="L45" s="5"/>
      <c r="M45" s="5"/>
      <c r="N45" s="5"/>
      <c r="O45" s="5"/>
      <c r="P45" s="5"/>
      <c r="Q45" s="5"/>
    </row>
  </sheetData>
  <sheetProtection/>
  <hyperlinks>
    <hyperlink ref="A4" r:id="rId1" display="http://www.dofmaster.com/dofjs.html"/>
    <hyperlink ref="A6" r:id="rId2" display="http://www.edgar-bonet.org/physique/pdc/"/>
    <hyperlink ref="A3" r:id="rId3" display="Une excellente représentation est proposée par chelmimage sur ce post : http://www.chassimages.com/forum/index.php/topic,82898.0.html"/>
    <hyperlink ref="A2" r:id="rId4" display="Calculs détaillés: http://www.edgar-bonet.org/physique/pdc/"/>
    <hyperlink ref="A5" r:id="rId5" display="La profondeur de champ ne dépend que de la taille de la pupille d'entrée !"/>
  </hyperlinks>
  <printOptions gridLines="1"/>
  <pageMargins left="0.75" right="0.75" top="1" bottom="1" header="0.4921259845" footer="0.4921259845"/>
  <pageSetup horizontalDpi="300" verticalDpi="300" orientation="portrait" paperSize="9" r:id="rId9"/>
  <headerFooter alignWithMargins="0">
    <oddHeader>&amp;C&amp;F</oddHeader>
    <oddFooter>&amp;CPage &amp;P</oddFooter>
  </headerFooter>
  <drawing r:id="rId8"/>
  <legacyDrawing r:id="rId7"/>
</worksheet>
</file>

<file path=xl/worksheets/sheet10.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N18" sqref="N18"/>
    </sheetView>
  </sheetViews>
  <sheetFormatPr defaultColWidth="11.421875" defaultRowHeight="12.75"/>
  <cols>
    <col min="1" max="1" width="17.140625" style="0" customWidth="1"/>
    <col min="2" max="2" width="49.28125" style="0" bestFit="1" customWidth="1"/>
    <col min="3" max="3" width="8.7109375" style="3" bestFit="1" customWidth="1"/>
    <col min="4" max="4" width="7.57421875" style="52" bestFit="1" customWidth="1"/>
    <col min="6" max="6" width="11.421875" style="84" customWidth="1"/>
    <col min="7" max="7" width="14.140625" style="0" bestFit="1" customWidth="1"/>
    <col min="9" max="9" width="20.28125" style="0" bestFit="1" customWidth="1"/>
    <col min="11" max="11" width="7.140625" style="0" customWidth="1"/>
    <col min="12" max="13" width="7.8515625" style="0" bestFit="1" customWidth="1"/>
  </cols>
  <sheetData>
    <row r="1" spans="1:2" ht="12.75">
      <c r="A1" s="12" t="s">
        <v>162</v>
      </c>
      <c r="B1" s="12"/>
    </row>
    <row r="2" spans="1:6" s="26" customFormat="1" ht="12.75">
      <c r="A2" s="26" t="s">
        <v>152</v>
      </c>
      <c r="B2" s="74" t="s">
        <v>153</v>
      </c>
      <c r="C2" s="21"/>
      <c r="D2" s="125"/>
      <c r="F2" s="109"/>
    </row>
    <row r="3" spans="2:6" s="26" customFormat="1" ht="12.75">
      <c r="B3" s="74" t="s">
        <v>190</v>
      </c>
      <c r="C3" s="21"/>
      <c r="D3" s="125"/>
      <c r="F3" s="109"/>
    </row>
    <row r="4" ht="12.75"/>
    <row r="5" spans="1:13" ht="12.75">
      <c r="A5" s="68" t="s">
        <v>11</v>
      </c>
      <c r="B5" s="68" t="s">
        <v>130</v>
      </c>
      <c r="C5" s="110" t="s">
        <v>129</v>
      </c>
      <c r="D5" s="126" t="s">
        <v>187</v>
      </c>
      <c r="E5" s="68" t="s">
        <v>151</v>
      </c>
      <c r="F5" s="85" t="s">
        <v>128</v>
      </c>
      <c r="G5" s="68" t="s">
        <v>178</v>
      </c>
      <c r="H5" s="112" t="s">
        <v>158</v>
      </c>
      <c r="I5" s="112" t="s">
        <v>159</v>
      </c>
      <c r="J5" s="112" t="s">
        <v>160</v>
      </c>
      <c r="K5" s="112" t="s">
        <v>235</v>
      </c>
      <c r="L5" s="112" t="s">
        <v>245</v>
      </c>
      <c r="M5" s="112" t="s">
        <v>246</v>
      </c>
    </row>
    <row r="6" spans="1:13" s="26" customFormat="1" ht="12.75">
      <c r="A6" s="114" t="s">
        <v>166</v>
      </c>
      <c r="B6" s="114" t="s">
        <v>167</v>
      </c>
      <c r="C6" s="115" t="s">
        <v>168</v>
      </c>
      <c r="D6" s="127"/>
      <c r="E6" s="114"/>
      <c r="F6" s="116"/>
      <c r="G6" s="114" t="s">
        <v>169</v>
      </c>
      <c r="H6" s="166"/>
      <c r="I6" s="117"/>
      <c r="J6" s="117"/>
      <c r="K6" s="114"/>
      <c r="L6" s="114"/>
      <c r="M6" s="114"/>
    </row>
    <row r="7" spans="1:13" s="26" customFormat="1" ht="12.75">
      <c r="A7" s="114" t="s">
        <v>166</v>
      </c>
      <c r="B7" s="114" t="s">
        <v>170</v>
      </c>
      <c r="C7" s="115" t="s">
        <v>168</v>
      </c>
      <c r="D7" s="127"/>
      <c r="E7" s="114"/>
      <c r="F7" s="116"/>
      <c r="G7" s="24" t="s">
        <v>240</v>
      </c>
      <c r="H7" s="166"/>
      <c r="I7" s="117"/>
      <c r="J7" s="117"/>
      <c r="K7" s="114"/>
      <c r="L7" s="114"/>
      <c r="M7" s="114"/>
    </row>
    <row r="8" spans="1:13" s="26" customFormat="1" ht="12.75">
      <c r="A8" s="114" t="s">
        <v>166</v>
      </c>
      <c r="B8" s="114" t="s">
        <v>163</v>
      </c>
      <c r="C8" s="115" t="s">
        <v>164</v>
      </c>
      <c r="D8" s="127"/>
      <c r="E8" s="114"/>
      <c r="F8" s="116"/>
      <c r="G8" s="114" t="s">
        <v>165</v>
      </c>
      <c r="H8" s="166"/>
      <c r="I8" s="117"/>
      <c r="J8" s="117"/>
      <c r="K8" s="114"/>
      <c r="L8" s="114"/>
      <c r="M8" s="114"/>
    </row>
    <row r="9" spans="1:13" s="26" customFormat="1" ht="12.75">
      <c r="A9" s="114" t="s">
        <v>166</v>
      </c>
      <c r="B9" s="114" t="s">
        <v>179</v>
      </c>
      <c r="C9" s="115" t="s">
        <v>171</v>
      </c>
      <c r="D9" s="127"/>
      <c r="E9" s="114"/>
      <c r="F9" s="116"/>
      <c r="G9" s="24" t="s">
        <v>240</v>
      </c>
      <c r="H9" s="166"/>
      <c r="I9" s="117"/>
      <c r="J9" s="117"/>
      <c r="K9" s="114"/>
      <c r="L9" s="114"/>
      <c r="M9" s="114"/>
    </row>
    <row r="10" spans="1:13" s="26" customFormat="1" ht="12.75">
      <c r="A10" s="114" t="s">
        <v>166</v>
      </c>
      <c r="B10" s="24" t="s">
        <v>206</v>
      </c>
      <c r="C10" s="115" t="s">
        <v>207</v>
      </c>
      <c r="D10" s="127"/>
      <c r="E10" s="114"/>
      <c r="F10" s="116"/>
      <c r="G10" s="24" t="s">
        <v>240</v>
      </c>
      <c r="H10" s="166"/>
      <c r="I10" s="117"/>
      <c r="J10" s="117"/>
      <c r="K10" s="114"/>
      <c r="L10" s="114"/>
      <c r="M10" s="114"/>
    </row>
    <row r="11" spans="1:13" s="26" customFormat="1" ht="12.75">
      <c r="A11" s="114" t="s">
        <v>250</v>
      </c>
      <c r="B11" s="24" t="s">
        <v>251</v>
      </c>
      <c r="C11" s="115" t="s">
        <v>252</v>
      </c>
      <c r="D11" s="127"/>
      <c r="E11" s="114"/>
      <c r="F11" s="116"/>
      <c r="G11" s="24" t="s">
        <v>253</v>
      </c>
      <c r="H11" s="166"/>
      <c r="I11" s="117"/>
      <c r="J11" s="117"/>
      <c r="K11" s="114"/>
      <c r="L11" s="114"/>
      <c r="M11" s="114"/>
    </row>
    <row r="12" spans="1:13" ht="12.75">
      <c r="A12" s="24" t="s">
        <v>133</v>
      </c>
      <c r="B12" s="24" t="s">
        <v>131</v>
      </c>
      <c r="C12" s="111" t="s">
        <v>132</v>
      </c>
      <c r="D12" s="63" t="s">
        <v>234</v>
      </c>
      <c r="E12" s="24"/>
      <c r="F12" s="86"/>
      <c r="G12" s="24" t="s">
        <v>240</v>
      </c>
      <c r="H12" s="63"/>
      <c r="I12" s="113"/>
      <c r="J12" s="24"/>
      <c r="K12" s="24"/>
      <c r="L12" s="24"/>
      <c r="M12" s="24"/>
    </row>
    <row r="13" spans="1:13" ht="12.75">
      <c r="A13" s="24" t="s">
        <v>133</v>
      </c>
      <c r="B13" s="24" t="s">
        <v>131</v>
      </c>
      <c r="C13" s="111" t="s">
        <v>132</v>
      </c>
      <c r="D13" s="63" t="s">
        <v>188</v>
      </c>
      <c r="E13" s="24"/>
      <c r="F13" s="86"/>
      <c r="G13" s="49" t="s">
        <v>197</v>
      </c>
      <c r="H13" s="63"/>
      <c r="I13" s="113"/>
      <c r="J13" s="24"/>
      <c r="K13" s="24"/>
      <c r="L13" s="24"/>
      <c r="M13" s="24"/>
    </row>
    <row r="14" spans="1:13" ht="12.75">
      <c r="A14" s="24" t="s">
        <v>133</v>
      </c>
      <c r="B14" s="24" t="s">
        <v>191</v>
      </c>
      <c r="C14" s="111" t="s">
        <v>135</v>
      </c>
      <c r="D14" s="63" t="s">
        <v>192</v>
      </c>
      <c r="E14" s="24"/>
      <c r="F14" s="86"/>
      <c r="G14" s="49" t="s">
        <v>193</v>
      </c>
      <c r="H14" s="63"/>
      <c r="I14" s="113"/>
      <c r="J14" s="24"/>
      <c r="K14" s="24"/>
      <c r="L14" s="24"/>
      <c r="M14" s="24"/>
    </row>
    <row r="15" spans="1:13" ht="12.75">
      <c r="A15" s="24" t="s">
        <v>134</v>
      </c>
      <c r="B15" s="24" t="s">
        <v>236</v>
      </c>
      <c r="C15" s="111" t="s">
        <v>135</v>
      </c>
      <c r="D15" s="63"/>
      <c r="E15" s="24" t="s">
        <v>172</v>
      </c>
      <c r="F15" s="86"/>
      <c r="G15" s="170" t="s">
        <v>136</v>
      </c>
      <c r="H15" s="168" t="s">
        <v>237</v>
      </c>
      <c r="I15" s="113"/>
      <c r="J15" s="24"/>
      <c r="K15" s="24"/>
      <c r="L15" s="24"/>
      <c r="M15" s="24"/>
    </row>
    <row r="16" spans="1:13" ht="12.75">
      <c r="A16" s="24" t="s">
        <v>138</v>
      </c>
      <c r="B16" s="24" t="s">
        <v>137</v>
      </c>
      <c r="C16" s="111" t="s">
        <v>132</v>
      </c>
      <c r="D16" s="63" t="s">
        <v>195</v>
      </c>
      <c r="E16" s="24" t="s">
        <v>173</v>
      </c>
      <c r="F16" s="86">
        <v>40177</v>
      </c>
      <c r="G16" s="24" t="s">
        <v>157</v>
      </c>
      <c r="H16" s="167"/>
      <c r="I16" s="113"/>
      <c r="J16" s="24"/>
      <c r="K16" s="24"/>
      <c r="L16" s="24"/>
      <c r="M16" s="24"/>
    </row>
    <row r="17" spans="1:13" ht="12.75">
      <c r="A17" s="24" t="s">
        <v>155</v>
      </c>
      <c r="B17" s="24" t="s">
        <v>174</v>
      </c>
      <c r="C17" s="111" t="s">
        <v>154</v>
      </c>
      <c r="D17" s="63" t="s">
        <v>194</v>
      </c>
      <c r="E17" s="24" t="s">
        <v>156</v>
      </c>
      <c r="F17" s="86">
        <v>40527</v>
      </c>
      <c r="G17" s="24" t="s">
        <v>193</v>
      </c>
      <c r="H17" s="167">
        <v>10</v>
      </c>
      <c r="I17" s="113">
        <f>245/(8.4-6.6)</f>
        <v>136.11111111111106</v>
      </c>
      <c r="J17" s="34" t="s">
        <v>161</v>
      </c>
      <c r="K17" s="24"/>
      <c r="L17" s="24"/>
      <c r="M17" s="24"/>
    </row>
    <row r="18" spans="1:13" ht="12.75">
      <c r="A18" s="24" t="s">
        <v>155</v>
      </c>
      <c r="B18" s="24" t="s">
        <v>185</v>
      </c>
      <c r="C18" s="111" t="s">
        <v>154</v>
      </c>
      <c r="D18" s="63" t="s">
        <v>196</v>
      </c>
      <c r="E18" s="24"/>
      <c r="F18" s="120">
        <v>40606</v>
      </c>
      <c r="G18" s="24" t="s">
        <v>213</v>
      </c>
      <c r="H18" s="63"/>
      <c r="I18" s="24"/>
      <c r="J18" s="24"/>
      <c r="K18" s="24">
        <v>38</v>
      </c>
      <c r="L18" s="24"/>
      <c r="M18" s="24"/>
    </row>
    <row r="19" spans="1:13" ht="12.75">
      <c r="A19" s="24" t="s">
        <v>155</v>
      </c>
      <c r="B19" s="24" t="s">
        <v>185</v>
      </c>
      <c r="C19" s="111" t="s">
        <v>154</v>
      </c>
      <c r="D19" s="63" t="s">
        <v>189</v>
      </c>
      <c r="E19" s="24" t="s">
        <v>186</v>
      </c>
      <c r="F19" s="120">
        <v>40704</v>
      </c>
      <c r="G19" s="24" t="s">
        <v>273</v>
      </c>
      <c r="H19" s="63"/>
      <c r="I19" s="24"/>
      <c r="J19" s="24"/>
      <c r="K19" s="24">
        <v>38</v>
      </c>
      <c r="L19" s="24"/>
      <c r="M19" s="24"/>
    </row>
    <row r="20" spans="1:13" ht="12.75">
      <c r="A20" s="24" t="s">
        <v>155</v>
      </c>
      <c r="B20" s="24" t="s">
        <v>208</v>
      </c>
      <c r="C20" s="111" t="s">
        <v>154</v>
      </c>
      <c r="D20" s="63"/>
      <c r="E20" s="24"/>
      <c r="F20" s="120">
        <v>41029</v>
      </c>
      <c r="G20" s="24" t="s">
        <v>157</v>
      </c>
      <c r="H20" s="63"/>
      <c r="I20" s="24"/>
      <c r="J20" s="24"/>
      <c r="K20" s="24"/>
      <c r="L20" s="24"/>
      <c r="M20" s="24"/>
    </row>
    <row r="21" spans="1:13" ht="12.75">
      <c r="A21" s="24" t="s">
        <v>155</v>
      </c>
      <c r="B21" s="24" t="s">
        <v>131</v>
      </c>
      <c r="C21" s="111" t="s">
        <v>154</v>
      </c>
      <c r="D21" s="63"/>
      <c r="E21" s="24"/>
      <c r="F21" s="120">
        <v>41054</v>
      </c>
      <c r="G21" s="24" t="s">
        <v>193</v>
      </c>
      <c r="H21" s="63"/>
      <c r="I21" s="24"/>
      <c r="J21" s="24"/>
      <c r="K21" s="24">
        <v>38</v>
      </c>
      <c r="L21" s="24"/>
      <c r="M21" s="24"/>
    </row>
    <row r="22" spans="1:13" ht="12.75">
      <c r="A22" s="24" t="s">
        <v>155</v>
      </c>
      <c r="B22" s="24" t="s">
        <v>244</v>
      </c>
      <c r="C22" s="111" t="s">
        <v>154</v>
      </c>
      <c r="D22" s="63"/>
      <c r="E22" s="24" t="s">
        <v>239</v>
      </c>
      <c r="F22" s="120">
        <v>41109</v>
      </c>
      <c r="G22" s="24" t="s">
        <v>249</v>
      </c>
      <c r="H22" s="63"/>
      <c r="I22" s="24"/>
      <c r="J22" s="24"/>
      <c r="K22" s="24"/>
      <c r="L22" s="24"/>
      <c r="M22" s="24"/>
    </row>
    <row r="23" spans="1:13" ht="12.75">
      <c r="A23" s="24" t="s">
        <v>155</v>
      </c>
      <c r="B23" s="24" t="s">
        <v>228</v>
      </c>
      <c r="C23" s="111" t="s">
        <v>230</v>
      </c>
      <c r="D23" s="63" t="s">
        <v>268</v>
      </c>
      <c r="E23" s="24" t="s">
        <v>229</v>
      </c>
      <c r="F23" s="120">
        <v>41426</v>
      </c>
      <c r="G23" s="24" t="s">
        <v>227</v>
      </c>
      <c r="H23" s="167">
        <v>8</v>
      </c>
      <c r="I23" s="24"/>
      <c r="J23" s="24"/>
      <c r="K23" s="24">
        <v>87</v>
      </c>
      <c r="L23" s="24">
        <v>82</v>
      </c>
      <c r="M23" s="24">
        <v>51</v>
      </c>
    </row>
    <row r="24" spans="1:13" ht="12.75">
      <c r="A24" s="24" t="s">
        <v>155</v>
      </c>
      <c r="B24" s="169" t="s">
        <v>231</v>
      </c>
      <c r="C24" s="111" t="s">
        <v>230</v>
      </c>
      <c r="D24" s="63" t="s">
        <v>233</v>
      </c>
      <c r="E24" s="24" t="s">
        <v>232</v>
      </c>
      <c r="F24" s="120">
        <v>41577</v>
      </c>
      <c r="G24" s="24" t="s">
        <v>227</v>
      </c>
      <c r="H24" s="63"/>
      <c r="I24" s="24"/>
      <c r="J24" s="24"/>
      <c r="K24" s="24">
        <v>66</v>
      </c>
      <c r="L24" s="24"/>
      <c r="M24" s="24"/>
    </row>
    <row r="25" spans="1:13" ht="12.75">
      <c r="A25" s="24" t="s">
        <v>155</v>
      </c>
      <c r="B25" s="24" t="s">
        <v>238</v>
      </c>
      <c r="C25" s="111" t="s">
        <v>154</v>
      </c>
      <c r="D25" s="63" t="s">
        <v>256</v>
      </c>
      <c r="E25" s="24" t="s">
        <v>239</v>
      </c>
      <c r="F25" s="120">
        <v>41968</v>
      </c>
      <c r="G25" s="24" t="s">
        <v>241</v>
      </c>
      <c r="H25" s="63"/>
      <c r="I25" s="24"/>
      <c r="J25" s="24"/>
      <c r="K25" s="24"/>
      <c r="L25" s="24"/>
      <c r="M25" s="24"/>
    </row>
    <row r="26" spans="1:13" ht="12.75">
      <c r="A26" s="24" t="s">
        <v>155</v>
      </c>
      <c r="B26" s="169" t="s">
        <v>242</v>
      </c>
      <c r="C26" s="111" t="s">
        <v>154</v>
      </c>
      <c r="D26" s="63" t="s">
        <v>254</v>
      </c>
      <c r="E26" s="24" t="s">
        <v>243</v>
      </c>
      <c r="F26" s="120">
        <v>42243</v>
      </c>
      <c r="G26" s="24" t="s">
        <v>241</v>
      </c>
      <c r="H26" s="63"/>
      <c r="I26" s="24"/>
      <c r="J26" s="24"/>
      <c r="K26" s="24"/>
      <c r="L26" s="24"/>
      <c r="M26" s="24"/>
    </row>
    <row r="27" spans="1:13" ht="12.75">
      <c r="A27" s="24" t="s">
        <v>155</v>
      </c>
      <c r="B27" s="169" t="s">
        <v>242</v>
      </c>
      <c r="C27" s="111" t="s">
        <v>154</v>
      </c>
      <c r="D27" s="63" t="s">
        <v>255</v>
      </c>
      <c r="E27" s="24" t="s">
        <v>243</v>
      </c>
      <c r="F27" s="120">
        <v>42243</v>
      </c>
      <c r="G27" s="24" t="s">
        <v>240</v>
      </c>
      <c r="H27" s="63"/>
      <c r="I27" s="24"/>
      <c r="J27" s="24"/>
      <c r="K27" s="24"/>
      <c r="L27" s="24"/>
      <c r="M27" s="24"/>
    </row>
    <row r="28" spans="1:13" ht="12.75">
      <c r="A28" s="24" t="s">
        <v>155</v>
      </c>
      <c r="B28" s="24" t="s">
        <v>265</v>
      </c>
      <c r="C28" s="111" t="s">
        <v>266</v>
      </c>
      <c r="D28" s="63" t="s">
        <v>299</v>
      </c>
      <c r="E28" s="49" t="s">
        <v>267</v>
      </c>
      <c r="F28" s="120">
        <v>42764</v>
      </c>
      <c r="G28" s="24" t="s">
        <v>240</v>
      </c>
      <c r="H28" s="63"/>
      <c r="I28" s="24"/>
      <c r="J28" s="24"/>
      <c r="K28" s="24"/>
      <c r="L28" s="24"/>
      <c r="M28" s="24"/>
    </row>
    <row r="29" spans="1:13" ht="12.75">
      <c r="A29" s="49" t="s">
        <v>336</v>
      </c>
      <c r="B29" s="24" t="s">
        <v>337</v>
      </c>
      <c r="C29" s="111" t="s">
        <v>338</v>
      </c>
      <c r="D29" s="63"/>
      <c r="E29" s="49" t="s">
        <v>339</v>
      </c>
      <c r="F29" s="120">
        <v>44743</v>
      </c>
      <c r="G29" s="49" t="s">
        <v>340</v>
      </c>
      <c r="H29" s="63"/>
      <c r="I29" s="24"/>
      <c r="J29" s="24"/>
      <c r="K29" s="24"/>
      <c r="L29" s="24"/>
      <c r="M29" s="24"/>
    </row>
    <row r="30" spans="1:13" ht="12.75">
      <c r="A30" s="49" t="s">
        <v>336</v>
      </c>
      <c r="B30" s="399" t="s">
        <v>367</v>
      </c>
      <c r="C30" s="111" t="s">
        <v>338</v>
      </c>
      <c r="D30" s="63" t="s">
        <v>368</v>
      </c>
      <c r="E30" s="49" t="s">
        <v>369</v>
      </c>
      <c r="F30" s="120">
        <v>45263</v>
      </c>
      <c r="G30" s="49" t="s">
        <v>366</v>
      </c>
      <c r="H30" s="63"/>
      <c r="I30" s="24"/>
      <c r="J30" s="24"/>
      <c r="K30" s="24"/>
      <c r="L30" s="24"/>
      <c r="M30" s="24"/>
    </row>
    <row r="31" spans="1:13" ht="12.75">
      <c r="A31" s="130"/>
      <c r="B31" s="174"/>
      <c r="C31" s="175"/>
      <c r="D31" s="176"/>
      <c r="E31" s="130"/>
      <c r="F31" s="177"/>
      <c r="G31" s="130"/>
      <c r="H31" s="176"/>
      <c r="I31" s="130"/>
      <c r="J31" s="130"/>
      <c r="K31" s="130"/>
      <c r="L31" s="130"/>
      <c r="M31" s="130"/>
    </row>
  </sheetData>
  <sheetProtection/>
  <autoFilter ref="A5:J5"/>
  <hyperlinks>
    <hyperlink ref="B2" r:id="rId1" display="http://fr.wikipedia.org/wiki/Carte_SD"/>
    <hyperlink ref="B24" r:id="rId2" display="Transcend UHS-I 600X"/>
    <hyperlink ref="B26" r:id="rId3" display="SanDisk Extreme UHS-I U3"/>
    <hyperlink ref="B3" r:id="rId4" display="http://tayeb.fr/bricbrac/bricbrac.htm"/>
    <hyperlink ref="B27" r:id="rId5" display="SanDisk Extreme UHS-I U3"/>
    <hyperlink ref="B30" r:id="rId6" display="SanDisk SDXC Extreme PRO, 200 MB/s, V30, UHS-I, U3"/>
  </hyperlinks>
  <printOptions/>
  <pageMargins left="0.62" right="0.31" top="0.69" bottom="1" header="0.4921259845" footer="0.4921259845"/>
  <pageSetup fitToHeight="1" fitToWidth="1" horizontalDpi="300" verticalDpi="300" orientation="portrait" paperSize="9" scale="65" r:id="rId10"/>
  <drawing r:id="rId9"/>
  <legacyDrawing r:id="rId8"/>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B1" sqref="B1"/>
    </sheetView>
  </sheetViews>
  <sheetFormatPr defaultColWidth="11.421875" defaultRowHeight="12.75"/>
  <cols>
    <col min="1" max="1" width="17.28125" style="0" customWidth="1"/>
    <col min="6" max="6" width="10.28125" style="0" bestFit="1" customWidth="1"/>
    <col min="7" max="8" width="8.7109375" style="0" bestFit="1" customWidth="1"/>
  </cols>
  <sheetData>
    <row r="1" ht="12.75">
      <c r="A1" s="12" t="s">
        <v>48</v>
      </c>
    </row>
    <row r="2" spans="2:6" s="4" customFormat="1" ht="38.25">
      <c r="B2" s="13" t="s">
        <v>36</v>
      </c>
      <c r="C2" s="13" t="s">
        <v>37</v>
      </c>
      <c r="D2" s="13" t="s">
        <v>38</v>
      </c>
      <c r="E2" s="4" t="s">
        <v>39</v>
      </c>
      <c r="F2" s="4" t="s">
        <v>40</v>
      </c>
    </row>
    <row r="3" spans="1:4" ht="12.75">
      <c r="A3" t="s">
        <v>34</v>
      </c>
      <c r="B3" s="12">
        <v>10</v>
      </c>
      <c r="C3" s="12">
        <v>300</v>
      </c>
      <c r="D3" s="9">
        <f>B3/2.54*C3</f>
        <v>1181.1023622047244</v>
      </c>
    </row>
    <row r="4" spans="1:6" ht="12.75">
      <c r="A4" t="s">
        <v>35</v>
      </c>
      <c r="B4" s="12">
        <v>15</v>
      </c>
      <c r="C4" s="12">
        <v>300</v>
      </c>
      <c r="D4" s="9">
        <f>B4/2.54*C4</f>
        <v>1771.6535433070867</v>
      </c>
      <c r="E4" s="9">
        <f>D3*D4</f>
        <v>2092504.18500837</v>
      </c>
      <c r="F4" s="9">
        <f>E4*3</f>
        <v>6277512.55502511</v>
      </c>
    </row>
    <row r="5" spans="2:6" ht="12.75">
      <c r="B5" s="12"/>
      <c r="C5" s="12"/>
      <c r="D5" s="9"/>
      <c r="E5" s="9"/>
      <c r="F5" s="9"/>
    </row>
    <row r="6" spans="1:8" ht="38.25">
      <c r="A6" t="s">
        <v>51</v>
      </c>
      <c r="B6" s="3" t="s">
        <v>50</v>
      </c>
      <c r="C6" s="3" t="s">
        <v>49</v>
      </c>
      <c r="D6" s="4" t="s">
        <v>62</v>
      </c>
      <c r="E6" s="4" t="s">
        <v>40</v>
      </c>
      <c r="F6" s="17" t="s">
        <v>37</v>
      </c>
      <c r="G6" s="17" t="s">
        <v>53</v>
      </c>
      <c r="H6" s="17" t="s">
        <v>54</v>
      </c>
    </row>
    <row r="7" spans="1:8" ht="12.75">
      <c r="A7" t="s">
        <v>55</v>
      </c>
      <c r="B7" s="21">
        <v>640</v>
      </c>
      <c r="C7" s="21">
        <v>480</v>
      </c>
      <c r="D7" s="17">
        <f aca="true" t="shared" si="0" ref="D7:D16">B7*C7</f>
        <v>307200</v>
      </c>
      <c r="E7" s="17">
        <f aca="true" t="shared" si="1" ref="E7:E16">D7*3</f>
        <v>921600</v>
      </c>
      <c r="F7" s="19">
        <v>300</v>
      </c>
      <c r="G7" s="20">
        <f aca="true" t="shared" si="2" ref="G7:H16">B7/$F7*2.54</f>
        <v>5.418666666666667</v>
      </c>
      <c r="H7" s="20">
        <f t="shared" si="2"/>
        <v>4.064</v>
      </c>
    </row>
    <row r="8" spans="1:8" ht="12.75">
      <c r="A8" t="s">
        <v>56</v>
      </c>
      <c r="B8" s="21">
        <v>1200</v>
      </c>
      <c r="C8" s="21">
        <v>1600</v>
      </c>
      <c r="D8" s="17">
        <f t="shared" si="0"/>
        <v>1920000</v>
      </c>
      <c r="E8" s="17">
        <f t="shared" si="1"/>
        <v>5760000</v>
      </c>
      <c r="F8" s="19">
        <v>300</v>
      </c>
      <c r="G8" s="20">
        <f t="shared" si="2"/>
        <v>10.16</v>
      </c>
      <c r="H8" s="20">
        <f t="shared" si="2"/>
        <v>13.546666666666667</v>
      </c>
    </row>
    <row r="9" spans="1:8" ht="12.75">
      <c r="A9" t="s">
        <v>52</v>
      </c>
      <c r="B9" s="21">
        <v>1536</v>
      </c>
      <c r="C9" s="21">
        <v>2048</v>
      </c>
      <c r="D9" s="17">
        <f t="shared" si="0"/>
        <v>3145728</v>
      </c>
      <c r="E9" s="17">
        <f t="shared" si="1"/>
        <v>9437184</v>
      </c>
      <c r="F9" s="19">
        <v>300</v>
      </c>
      <c r="G9" s="20">
        <f t="shared" si="2"/>
        <v>13.004800000000001</v>
      </c>
      <c r="H9" s="20">
        <f t="shared" si="2"/>
        <v>17.339733333333335</v>
      </c>
    </row>
    <row r="10" spans="1:8" ht="12.75">
      <c r="A10" t="s">
        <v>57</v>
      </c>
      <c r="B10" s="21">
        <v>1704</v>
      </c>
      <c r="C10" s="21">
        <v>2272</v>
      </c>
      <c r="D10" s="17">
        <f t="shared" si="0"/>
        <v>3871488</v>
      </c>
      <c r="E10" s="17">
        <f t="shared" si="1"/>
        <v>11614464</v>
      </c>
      <c r="F10" s="19">
        <v>300</v>
      </c>
      <c r="G10" s="20">
        <f t="shared" si="2"/>
        <v>14.4272</v>
      </c>
      <c r="H10" s="20">
        <f t="shared" si="2"/>
        <v>19.236266666666666</v>
      </c>
    </row>
    <row r="11" spans="1:8" ht="12.75">
      <c r="A11" t="s">
        <v>59</v>
      </c>
      <c r="B11" s="21">
        <v>1920</v>
      </c>
      <c r="C11" s="21">
        <v>2560</v>
      </c>
      <c r="D11" s="17">
        <f t="shared" si="0"/>
        <v>4915200</v>
      </c>
      <c r="E11" s="17">
        <f t="shared" si="1"/>
        <v>14745600</v>
      </c>
      <c r="F11" s="19">
        <v>300</v>
      </c>
      <c r="G11" s="20">
        <f t="shared" si="2"/>
        <v>16.256</v>
      </c>
      <c r="H11" s="20">
        <f t="shared" si="2"/>
        <v>21.674666666666667</v>
      </c>
    </row>
    <row r="12" spans="1:8" ht="12.75">
      <c r="A12" t="s">
        <v>61</v>
      </c>
      <c r="B12" s="21">
        <v>2048</v>
      </c>
      <c r="C12" s="21">
        <v>3072</v>
      </c>
      <c r="D12" s="17">
        <f t="shared" si="0"/>
        <v>6291456</v>
      </c>
      <c r="E12" s="17">
        <f t="shared" si="1"/>
        <v>18874368</v>
      </c>
      <c r="F12" s="19">
        <v>300</v>
      </c>
      <c r="G12" s="20">
        <f t="shared" si="2"/>
        <v>17.339733333333335</v>
      </c>
      <c r="H12" s="20">
        <f t="shared" si="2"/>
        <v>26.009600000000002</v>
      </c>
    </row>
    <row r="13" spans="1:8" ht="12.75">
      <c r="A13" t="s">
        <v>68</v>
      </c>
      <c r="B13" s="21">
        <v>2304</v>
      </c>
      <c r="C13" s="21">
        <v>3072</v>
      </c>
      <c r="D13" s="17">
        <f>B13*C13</f>
        <v>7077888</v>
      </c>
      <c r="E13" s="17">
        <f t="shared" si="1"/>
        <v>21233664</v>
      </c>
      <c r="F13" s="19">
        <v>300</v>
      </c>
      <c r="G13" s="20">
        <f>B13/$F13*2.54</f>
        <v>19.5072</v>
      </c>
      <c r="H13" s="20">
        <f>C13/$F13*2.54</f>
        <v>26.009600000000002</v>
      </c>
    </row>
    <row r="14" spans="1:8" ht="12.75">
      <c r="A14" t="s">
        <v>60</v>
      </c>
      <c r="B14" s="21">
        <v>3024</v>
      </c>
      <c r="C14" s="21">
        <v>4256</v>
      </c>
      <c r="D14" s="17">
        <f t="shared" si="0"/>
        <v>12870144</v>
      </c>
      <c r="E14" s="17">
        <f t="shared" si="1"/>
        <v>38610432</v>
      </c>
      <c r="F14" s="19">
        <v>300</v>
      </c>
      <c r="G14" s="20">
        <f t="shared" si="2"/>
        <v>25.6032</v>
      </c>
      <c r="H14" s="20">
        <f t="shared" si="2"/>
        <v>36.03413333333334</v>
      </c>
    </row>
    <row r="15" spans="1:8" ht="12.75">
      <c r="A15" t="s">
        <v>226</v>
      </c>
      <c r="B15" s="21">
        <v>6000</v>
      </c>
      <c r="C15" s="21">
        <v>4000</v>
      </c>
      <c r="D15" s="17">
        <f>B15*C15</f>
        <v>24000000</v>
      </c>
      <c r="E15" s="17">
        <f t="shared" si="1"/>
        <v>72000000</v>
      </c>
      <c r="F15" s="19">
        <v>300</v>
      </c>
      <c r="G15" s="20">
        <f>B15/$F15*2.54</f>
        <v>50.8</v>
      </c>
      <c r="H15" s="20">
        <f>C15/$F15*2.54</f>
        <v>33.86666666666667</v>
      </c>
    </row>
    <row r="16" spans="1:8" ht="12.75">
      <c r="A16" t="s">
        <v>58</v>
      </c>
      <c r="B16" s="18">
        <v>1536</v>
      </c>
      <c r="C16" s="18">
        <v>2048</v>
      </c>
      <c r="D16" s="17">
        <f t="shared" si="0"/>
        <v>3145728</v>
      </c>
      <c r="E16" s="17">
        <f t="shared" si="1"/>
        <v>9437184</v>
      </c>
      <c r="F16" s="19">
        <v>300</v>
      </c>
      <c r="G16" s="20">
        <f t="shared" si="2"/>
        <v>13.004800000000001</v>
      </c>
      <c r="H16" s="20">
        <f t="shared" si="2"/>
        <v>17.339733333333335</v>
      </c>
    </row>
    <row r="17" spans="2:6" ht="12.75">
      <c r="B17" s="12"/>
      <c r="C17" s="12"/>
      <c r="D17" s="9"/>
      <c r="E17" s="9"/>
      <c r="F17" s="9"/>
    </row>
    <row r="19" ht="12.75">
      <c r="A19" t="s">
        <v>43</v>
      </c>
    </row>
    <row r="21" ht="12.75">
      <c r="A21" t="s">
        <v>41</v>
      </c>
    </row>
    <row r="22" ht="12.75">
      <c r="B22" t="s">
        <v>42</v>
      </c>
    </row>
    <row r="23" ht="12.75">
      <c r="B23" t="s">
        <v>63</v>
      </c>
    </row>
    <row r="25" ht="12.75">
      <c r="A25" s="12" t="s">
        <v>44</v>
      </c>
    </row>
    <row r="26" spans="1:4" ht="12.75">
      <c r="A26" t="s">
        <v>46</v>
      </c>
      <c r="B26">
        <v>24</v>
      </c>
      <c r="C26" s="14">
        <v>36</v>
      </c>
      <c r="D26">
        <f>C26/B26</f>
        <v>1.5</v>
      </c>
    </row>
    <row r="27" spans="1:4" ht="12.75">
      <c r="A27" t="s">
        <v>45</v>
      </c>
      <c r="B27">
        <v>640</v>
      </c>
      <c r="C27" s="14">
        <v>480</v>
      </c>
      <c r="D27" s="16">
        <f>B27/C27</f>
        <v>1.3333333333333333</v>
      </c>
    </row>
    <row r="28" spans="2:4" ht="12.75">
      <c r="B28">
        <v>800</v>
      </c>
      <c r="C28" s="14">
        <v>600</v>
      </c>
      <c r="D28" s="16">
        <f aca="true" t="shared" si="3" ref="D28:D34">B28/C28</f>
        <v>1.3333333333333333</v>
      </c>
    </row>
    <row r="29" spans="2:4" ht="12.75">
      <c r="B29">
        <v>1024</v>
      </c>
      <c r="C29" s="14">
        <v>768</v>
      </c>
      <c r="D29" s="16">
        <f t="shared" si="3"/>
        <v>1.3333333333333333</v>
      </c>
    </row>
    <row r="30" spans="2:4" ht="12.75">
      <c r="B30">
        <v>1280</v>
      </c>
      <c r="C30" s="14">
        <v>1024</v>
      </c>
      <c r="D30">
        <f t="shared" si="3"/>
        <v>1.25</v>
      </c>
    </row>
    <row r="31" spans="2:4" ht="12.75">
      <c r="B31">
        <v>1400</v>
      </c>
      <c r="C31" s="14">
        <v>1050</v>
      </c>
      <c r="D31" s="16">
        <f t="shared" si="3"/>
        <v>1.3333333333333333</v>
      </c>
    </row>
    <row r="32" spans="1:4" ht="12.75">
      <c r="A32" t="s">
        <v>47</v>
      </c>
      <c r="B32">
        <v>1600</v>
      </c>
      <c r="C32" s="14">
        <v>1200</v>
      </c>
      <c r="D32" s="16">
        <f t="shared" si="3"/>
        <v>1.3333333333333333</v>
      </c>
    </row>
    <row r="33" spans="2:4" ht="12.75">
      <c r="B33">
        <v>2048</v>
      </c>
      <c r="C33" s="14">
        <v>1536</v>
      </c>
      <c r="D33" s="16">
        <f t="shared" si="3"/>
        <v>1.3333333333333333</v>
      </c>
    </row>
    <row r="34" spans="2:4" ht="12.75">
      <c r="B34">
        <v>2048</v>
      </c>
      <c r="C34" s="14">
        <v>1360</v>
      </c>
      <c r="D34" s="15">
        <f t="shared" si="3"/>
        <v>1.5058823529411764</v>
      </c>
    </row>
    <row r="37" ht="12.75">
      <c r="A37" s="12" t="s">
        <v>64</v>
      </c>
    </row>
    <row r="38" spans="1:3" ht="38.25">
      <c r="A38" t="s">
        <v>65</v>
      </c>
      <c r="B38" s="4" t="s">
        <v>4</v>
      </c>
      <c r="C38" s="4" t="s">
        <v>66</v>
      </c>
    </row>
    <row r="39" spans="1:3" ht="12.75">
      <c r="A39">
        <v>24</v>
      </c>
      <c r="B39">
        <v>0.03</v>
      </c>
      <c r="C39">
        <f>A39/B39</f>
        <v>800</v>
      </c>
    </row>
    <row r="40" spans="1:3" ht="12.75">
      <c r="A40">
        <v>36</v>
      </c>
      <c r="B40">
        <v>0.03</v>
      </c>
      <c r="C40">
        <f>A40/B40</f>
        <v>1200</v>
      </c>
    </row>
  </sheetData>
  <sheetProtection/>
  <printOptions/>
  <pageMargins left="0.75" right="0.75" top="1" bottom="1" header="0.4921259845" footer="0.4921259845"/>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outlinePr summaryRight="0"/>
  </sheetPr>
  <dimension ref="A1:AS77"/>
  <sheetViews>
    <sheetView tabSelected="1" zoomScale="80" zoomScaleNormal="80" zoomScalePageLayoutView="0" workbookViewId="0" topLeftCell="A1">
      <pane ySplit="6" topLeftCell="BM19" activePane="bottomLeft" state="frozen"/>
      <selection pane="topLeft" activeCell="A1" sqref="A1"/>
      <selection pane="bottomLeft" activeCell="A59" sqref="A59"/>
    </sheetView>
  </sheetViews>
  <sheetFormatPr defaultColWidth="11.421875" defaultRowHeight="12.75" outlineLevelCol="1"/>
  <cols>
    <col min="1" max="1" width="3.421875" style="0" bestFit="1" customWidth="1"/>
    <col min="2" max="2" width="14.140625" style="0" customWidth="1"/>
    <col min="3" max="3" width="14.7109375" style="0" bestFit="1" customWidth="1"/>
    <col min="4" max="4" width="4.421875" style="0" customWidth="1"/>
    <col min="5" max="5" width="7.140625" style="0" customWidth="1" outlineLevel="1"/>
    <col min="6" max="7" width="6.57421875" style="0" customWidth="1" outlineLevel="1"/>
    <col min="8" max="8" width="9.140625" style="0" customWidth="1" outlineLevel="1"/>
    <col min="9" max="9" width="9.421875" style="0" customWidth="1" outlineLevel="1"/>
    <col min="10" max="10" width="10.57421875" style="0" customWidth="1" outlineLevel="1"/>
    <col min="11" max="11" width="7.28125" style="0" customWidth="1" outlineLevel="1"/>
    <col min="12" max="12" width="5.140625" style="0" bestFit="1" customWidth="1"/>
    <col min="13" max="13" width="6.57421875" style="0" customWidth="1" outlineLevel="1"/>
    <col min="14" max="14" width="8.421875" style="0" bestFit="1" customWidth="1" outlineLevel="1"/>
    <col min="15" max="15" width="8.421875" style="0" customWidth="1" outlineLevel="1"/>
    <col min="16" max="16" width="5.57421875" style="0" bestFit="1" customWidth="1" outlineLevel="1"/>
    <col min="17" max="17" width="11.421875" style="0" bestFit="1" customWidth="1" outlineLevel="1"/>
    <col min="18" max="18" width="8.7109375" style="0" customWidth="1" outlineLevel="1"/>
    <col min="19" max="19" width="6.28125" style="208" bestFit="1" customWidth="1" collapsed="1"/>
    <col min="20" max="20" width="9.57421875" style="0" hidden="1" customWidth="1" outlineLevel="1"/>
    <col min="21" max="21" width="8.8515625" style="0" hidden="1" customWidth="1" outlineLevel="1"/>
    <col min="22" max="22" width="0" style="0" hidden="1" customWidth="1" outlineLevel="1"/>
    <col min="23" max="25" width="8.7109375" style="0" hidden="1" customWidth="1" outlineLevel="1"/>
    <col min="26" max="26" width="10.7109375" style="0" hidden="1" customWidth="1" outlineLevel="1"/>
    <col min="27" max="27" width="12.00390625" style="0" hidden="1" customWidth="1" outlineLevel="1"/>
    <col min="28" max="28" width="6.28125" style="208" bestFit="1" customWidth="1"/>
    <col min="29" max="29" width="10.140625" style="0" customWidth="1" outlineLevel="1"/>
    <col min="30" max="30" width="9.7109375" style="0" customWidth="1" outlineLevel="1"/>
    <col min="31" max="31" width="11.57421875" style="0" bestFit="1" customWidth="1" outlineLevel="1"/>
    <col min="32" max="32" width="10.7109375" style="0" customWidth="1" outlineLevel="1"/>
    <col min="33" max="34" width="8.140625" style="0" customWidth="1" outlineLevel="1"/>
    <col min="35" max="35" width="10.00390625" style="0" bestFit="1" customWidth="1" outlineLevel="1"/>
    <col min="36" max="36" width="11.57421875" style="0" bestFit="1" customWidth="1" outlineLevel="1"/>
    <col min="37" max="37" width="9.8515625" style="0" customWidth="1" outlineLevel="1"/>
    <col min="38" max="40" width="9.28125" style="0" customWidth="1" outlineLevel="1"/>
    <col min="41" max="41" width="7.8515625" style="0" customWidth="1" outlineLevel="1"/>
    <col min="42" max="42" width="8.57421875" style="0" customWidth="1" outlineLevel="1"/>
    <col min="43" max="43" width="7.8515625" style="0" bestFit="1" customWidth="1" outlineLevel="1"/>
    <col min="44" max="44" width="8.7109375" style="0" customWidth="1" outlineLevel="1"/>
    <col min="45" max="45" width="7.28125" style="0" customWidth="1" outlineLevel="1"/>
  </cols>
  <sheetData>
    <row r="1" spans="2:4" ht="12.75">
      <c r="B1" s="1" t="s">
        <v>327</v>
      </c>
      <c r="C1" s="1"/>
      <c r="D1" s="1"/>
    </row>
    <row r="2" spans="2:4" ht="12.75">
      <c r="B2" s="241" t="s">
        <v>312</v>
      </c>
      <c r="C2" s="1"/>
      <c r="D2" s="1"/>
    </row>
    <row r="3" spans="1:45" ht="12.75">
      <c r="A3" s="24"/>
      <c r="B3" s="114" t="s">
        <v>304</v>
      </c>
      <c r="C3" s="46"/>
      <c r="D3" s="270" t="s">
        <v>325</v>
      </c>
      <c r="E3" s="24"/>
      <c r="F3" s="24"/>
      <c r="G3" s="24"/>
      <c r="H3" s="24"/>
      <c r="I3" s="24"/>
      <c r="J3" s="24"/>
      <c r="K3" s="24"/>
      <c r="L3" s="183" t="s">
        <v>326</v>
      </c>
      <c r="M3" s="48"/>
      <c r="N3" s="48"/>
      <c r="O3" s="48"/>
      <c r="P3" s="44"/>
      <c r="Q3" s="44"/>
      <c r="R3" s="44"/>
      <c r="S3" s="183" t="s">
        <v>324</v>
      </c>
      <c r="T3" s="40"/>
      <c r="U3" s="40"/>
      <c r="V3" s="366"/>
      <c r="W3" s="47"/>
      <c r="X3" s="47"/>
      <c r="Y3" s="47"/>
      <c r="Z3" s="88"/>
      <c r="AA3" s="88"/>
      <c r="AB3" s="183" t="s">
        <v>305</v>
      </c>
      <c r="AC3" s="48"/>
      <c r="AD3" s="48"/>
      <c r="AE3" s="48"/>
      <c r="AF3" s="48"/>
      <c r="AG3" s="48"/>
      <c r="AH3" s="48"/>
      <c r="AI3" s="48"/>
      <c r="AJ3" s="48"/>
      <c r="AK3" s="48"/>
      <c r="AL3" s="48"/>
      <c r="AM3" s="48"/>
      <c r="AN3" s="48"/>
      <c r="AO3" s="48"/>
      <c r="AP3" s="48"/>
      <c r="AQ3" s="48"/>
      <c r="AR3" s="366"/>
      <c r="AS3" s="24"/>
    </row>
    <row r="4" spans="1:45" ht="12.75">
      <c r="A4" s="24"/>
      <c r="B4" s="46"/>
      <c r="C4" s="46"/>
      <c r="D4" s="267"/>
      <c r="E4" s="24"/>
      <c r="F4" s="24"/>
      <c r="G4" s="24"/>
      <c r="H4" s="24"/>
      <c r="I4" s="47"/>
      <c r="J4" s="47"/>
      <c r="K4" s="47"/>
      <c r="L4" s="183"/>
      <c r="M4" s="48"/>
      <c r="N4" s="48"/>
      <c r="O4" s="48"/>
      <c r="P4" s="44"/>
      <c r="Q4" s="44" t="s">
        <v>84</v>
      </c>
      <c r="R4" s="44"/>
      <c r="S4" s="183"/>
      <c r="T4" s="40" t="s">
        <v>313</v>
      </c>
      <c r="U4" s="40"/>
      <c r="V4" s="366" t="s">
        <v>284</v>
      </c>
      <c r="W4" s="47" t="s">
        <v>257</v>
      </c>
      <c r="X4" s="47"/>
      <c r="Y4" s="47"/>
      <c r="Z4" s="88"/>
      <c r="AA4" s="88"/>
      <c r="AB4" s="183"/>
      <c r="AC4" s="48"/>
      <c r="AD4" s="48"/>
      <c r="AE4" s="48"/>
      <c r="AF4" s="48"/>
      <c r="AG4" s="48"/>
      <c r="AH4" s="48"/>
      <c r="AI4" s="48"/>
      <c r="AJ4" s="48"/>
      <c r="AK4" s="48"/>
      <c r="AL4" s="48"/>
      <c r="AM4" s="48"/>
      <c r="AN4" s="48"/>
      <c r="AO4" s="48"/>
      <c r="AP4" s="48"/>
      <c r="AQ4" s="48"/>
      <c r="AR4" s="366"/>
      <c r="AS4" s="24"/>
    </row>
    <row r="5" spans="1:45" ht="12.75">
      <c r="A5" s="24"/>
      <c r="B5" s="46"/>
      <c r="C5" s="46"/>
      <c r="D5" s="267"/>
      <c r="E5" s="24" t="s">
        <v>182</v>
      </c>
      <c r="F5" s="24"/>
      <c r="G5" s="24"/>
      <c r="H5" s="24"/>
      <c r="I5" s="47"/>
      <c r="J5" s="47"/>
      <c r="K5" s="47"/>
      <c r="L5" s="183"/>
      <c r="M5" s="48"/>
      <c r="N5" s="48"/>
      <c r="O5" s="48"/>
      <c r="P5" s="44"/>
      <c r="Q5" s="45">
        <v>0.5</v>
      </c>
      <c r="R5" s="45"/>
      <c r="S5" s="184"/>
      <c r="T5" s="193">
        <v>20</v>
      </c>
      <c r="U5" s="40"/>
      <c r="V5" s="371">
        <v>20</v>
      </c>
      <c r="W5" s="47" t="s">
        <v>259</v>
      </c>
      <c r="X5" s="47"/>
      <c r="Y5" s="47"/>
      <c r="Z5" s="88"/>
      <c r="AA5" s="88"/>
      <c r="AB5" s="183"/>
      <c r="AC5" s="48"/>
      <c r="AD5" s="48"/>
      <c r="AE5" s="234">
        <v>30</v>
      </c>
      <c r="AF5" s="48"/>
      <c r="AG5" s="48"/>
      <c r="AH5" s="48"/>
      <c r="AI5" s="48"/>
      <c r="AJ5" s="48"/>
      <c r="AK5" s="48"/>
      <c r="AL5" s="48"/>
      <c r="AM5" s="48"/>
      <c r="AN5" s="48"/>
      <c r="AO5" s="48"/>
      <c r="AP5" s="48"/>
      <c r="AQ5" s="48"/>
      <c r="AR5" s="366"/>
      <c r="AS5" s="24"/>
    </row>
    <row r="6" spans="1:45" s="4" customFormat="1" ht="409.5">
      <c r="A6" s="22" t="s">
        <v>286</v>
      </c>
      <c r="B6" s="22" t="s">
        <v>11</v>
      </c>
      <c r="C6" s="22" t="s">
        <v>144</v>
      </c>
      <c r="D6" s="185"/>
      <c r="E6" s="22" t="s">
        <v>85</v>
      </c>
      <c r="F6" s="22" t="s">
        <v>86</v>
      </c>
      <c r="G6" s="50" t="s">
        <v>76</v>
      </c>
      <c r="H6" s="22" t="s">
        <v>12</v>
      </c>
      <c r="I6" s="37" t="s">
        <v>329</v>
      </c>
      <c r="J6" s="37" t="s">
        <v>330</v>
      </c>
      <c r="K6" s="37" t="s">
        <v>143</v>
      </c>
      <c r="L6" s="185"/>
      <c r="M6" s="23" t="s">
        <v>2</v>
      </c>
      <c r="N6" s="23" t="s">
        <v>331</v>
      </c>
      <c r="O6" s="23" t="s">
        <v>175</v>
      </c>
      <c r="P6" s="43" t="s">
        <v>79</v>
      </c>
      <c r="Q6" s="43" t="s">
        <v>321</v>
      </c>
      <c r="R6" s="43" t="s">
        <v>322</v>
      </c>
      <c r="S6" s="185"/>
      <c r="T6" s="39" t="s">
        <v>314</v>
      </c>
      <c r="U6" s="39" t="s">
        <v>140</v>
      </c>
      <c r="V6" s="367" t="s">
        <v>285</v>
      </c>
      <c r="W6" s="37" t="s">
        <v>335</v>
      </c>
      <c r="X6" s="37" t="s">
        <v>258</v>
      </c>
      <c r="Y6" s="37" t="s">
        <v>334</v>
      </c>
      <c r="Z6" s="89" t="s">
        <v>141</v>
      </c>
      <c r="AA6" s="89" t="s">
        <v>142</v>
      </c>
      <c r="AB6" s="185"/>
      <c r="AC6" s="23" t="s">
        <v>315</v>
      </c>
      <c r="AD6" s="23" t="s">
        <v>316</v>
      </c>
      <c r="AE6" s="231" t="s">
        <v>115</v>
      </c>
      <c r="AF6" s="23" t="s">
        <v>5</v>
      </c>
      <c r="AG6" s="23" t="s">
        <v>6</v>
      </c>
      <c r="AH6" s="23" t="s">
        <v>310</v>
      </c>
      <c r="AI6" s="23" t="s">
        <v>319</v>
      </c>
      <c r="AJ6" s="23" t="s">
        <v>318</v>
      </c>
      <c r="AK6" s="23" t="s">
        <v>320</v>
      </c>
      <c r="AL6" s="23" t="s">
        <v>306</v>
      </c>
      <c r="AM6" s="23" t="s">
        <v>307</v>
      </c>
      <c r="AN6" s="23" t="s">
        <v>308</v>
      </c>
      <c r="AO6" s="23" t="s">
        <v>309</v>
      </c>
      <c r="AP6" s="23" t="s">
        <v>323</v>
      </c>
      <c r="AQ6" s="23" t="s">
        <v>317</v>
      </c>
      <c r="AR6" s="367" t="s">
        <v>333</v>
      </c>
      <c r="AS6" s="22" t="s">
        <v>311</v>
      </c>
    </row>
    <row r="7" spans="1:45" ht="12.75">
      <c r="A7" s="24">
        <v>7</v>
      </c>
      <c r="B7" s="49" t="s">
        <v>13</v>
      </c>
      <c r="C7" s="49" t="s">
        <v>147</v>
      </c>
      <c r="D7" s="183"/>
      <c r="E7" s="33">
        <v>24</v>
      </c>
      <c r="F7" s="35">
        <v>36</v>
      </c>
      <c r="G7" s="119">
        <f aca="true" t="shared" si="0" ref="G7:G41">F7/E7</f>
        <v>1.5</v>
      </c>
      <c r="H7" s="35">
        <f>SQRT(F7^2+E7^2)</f>
        <v>43.266615305567875</v>
      </c>
      <c r="I7" s="140">
        <v>6.4</v>
      </c>
      <c r="J7" s="38">
        <f aca="true" t="shared" si="1" ref="J7:J41">(E7*F7)/I7^2*1000000</f>
        <v>21093749.999999996</v>
      </c>
      <c r="K7" s="38">
        <f>F7/I7*1000</f>
        <v>5625</v>
      </c>
      <c r="L7" s="220"/>
      <c r="M7" s="41">
        <v>50</v>
      </c>
      <c r="N7" s="42">
        <f aca="true" t="shared" si="2" ref="N7:N41">M7*H$7/H7</f>
        <v>50</v>
      </c>
      <c r="O7" s="118">
        <f aca="true" t="shared" si="3" ref="O7:O41">N7/M7</f>
        <v>1</v>
      </c>
      <c r="P7" s="357">
        <v>16</v>
      </c>
      <c r="Q7" s="180">
        <f>1.22*Q$5*P7</f>
        <v>9.76</v>
      </c>
      <c r="R7" s="180">
        <f aca="true" t="shared" si="4" ref="R7:R41">MAX(I7,Q7)</f>
        <v>9.76</v>
      </c>
      <c r="S7" s="186"/>
      <c r="T7" s="51">
        <f aca="true" t="shared" si="5" ref="T7:T41">T$5*F7/M7</f>
        <v>14.4</v>
      </c>
      <c r="U7" s="51">
        <f aca="true" t="shared" si="6" ref="U7:U41">2*ATAN(F7/2/M7)*180/PI()</f>
        <v>39.597752709049864</v>
      </c>
      <c r="V7" s="372">
        <f aca="true" t="shared" si="7" ref="V7:V41">(V$5*1000-M7)/M7*MAX(I7,Q7)/1000</f>
        <v>3.89424</v>
      </c>
      <c r="W7" s="187">
        <f>ATAN(I7/M7/1000)*180/PI()*3600</f>
        <v>26.401895055438786</v>
      </c>
      <c r="X7" s="187">
        <f>ATAN(Q7/M7/1000)*180/PI()*3600</f>
        <v>40.26288966805372</v>
      </c>
      <c r="Y7" s="187">
        <f aca="true" t="shared" si="8" ref="Y7:Y32">ATAN(R7/M7/1000)*180/PI()*3600</f>
        <v>40.26288966805372</v>
      </c>
      <c r="Z7" s="90">
        <v>0.06666666666666667</v>
      </c>
      <c r="AA7" s="91">
        <f>K7*360/U7*Z7/86400</f>
        <v>0.039459310013896284</v>
      </c>
      <c r="AB7" s="209"/>
      <c r="AC7" s="211">
        <f aca="true" t="shared" si="9" ref="AC7:AC41">AE7/I7</f>
        <v>4.6875</v>
      </c>
      <c r="AD7" s="210">
        <f aca="true" t="shared" si="10" ref="AD7:AD41">AC7*I7</f>
        <v>30</v>
      </c>
      <c r="AE7" s="232">
        <f>$AE$5/O7</f>
        <v>30</v>
      </c>
      <c r="AF7" s="213">
        <f aca="true" t="shared" si="11" ref="AF7:AF41">M7^2/P7/AD7</f>
        <v>5.208333333333333</v>
      </c>
      <c r="AG7" s="214">
        <v>2</v>
      </c>
      <c r="AH7" s="237">
        <f aca="true" t="shared" si="12" ref="AH7:AH41">F7*AG7/M7</f>
        <v>1.44</v>
      </c>
      <c r="AI7" s="215">
        <f aca="true" t="shared" si="13" ref="AI7:AI41">(AF7*AG7)/(AF7+AG7-M7/1000)</f>
        <v>1.4551804423748544</v>
      </c>
      <c r="AJ7" s="215">
        <f aca="true" t="shared" si="14" ref="AJ7:AJ41">IF(AF7*AG7/(AF7-AG7+M7/1000)&lt;0,"infini",AF7*AG7/(AF7-AG7+M7/1000))</f>
        <v>3.1969309462915603</v>
      </c>
      <c r="AK7" s="215">
        <f>AJ7-AI7</f>
        <v>1.7417505039167058</v>
      </c>
      <c r="AL7" s="216">
        <f aca="true" t="shared" si="15" ref="AL7:AL41">P7*AD7</f>
        <v>480</v>
      </c>
      <c r="AM7" s="216">
        <f aca="true" t="shared" si="16" ref="AM7:AM41">F7/Q7*1000</f>
        <v>3688.524590163934</v>
      </c>
      <c r="AN7" s="216">
        <f aca="true" t="shared" si="17" ref="AN7:AN41">F7/AD7*1000</f>
        <v>1200</v>
      </c>
      <c r="AO7" s="213">
        <f aca="true" t="shared" si="18" ref="AO7:AO41">E7*F7/Q7^2</f>
        <v>9.070142434829346</v>
      </c>
      <c r="AP7" s="213">
        <f aca="true" t="shared" si="19" ref="AP7:AP41">E7*F7/R7^2</f>
        <v>9.070142434829346</v>
      </c>
      <c r="AQ7" s="213">
        <f aca="true" t="shared" si="20" ref="AQ7:AQ41">E7*F7/AD7^2</f>
        <v>0.96</v>
      </c>
      <c r="AR7" s="366"/>
      <c r="AS7" s="33">
        <f aca="true" t="shared" si="21" ref="AS7:AS41">M7/P7</f>
        <v>3.125</v>
      </c>
    </row>
    <row r="8" spans="1:45" ht="12.75">
      <c r="A8" s="24">
        <v>8</v>
      </c>
      <c r="B8" s="49" t="s">
        <v>204</v>
      </c>
      <c r="C8" s="49" t="s">
        <v>248</v>
      </c>
      <c r="D8" s="183"/>
      <c r="E8" s="33">
        <v>24</v>
      </c>
      <c r="F8" s="35">
        <v>35.9</v>
      </c>
      <c r="G8" s="119">
        <f t="shared" si="0"/>
        <v>1.4958333333333333</v>
      </c>
      <c r="H8" s="35">
        <f>SQRT(F8^2+E8^2)</f>
        <v>43.18344590233623</v>
      </c>
      <c r="I8" s="141">
        <f>F8/K8*1000</f>
        <v>4.877717391304348</v>
      </c>
      <c r="J8" s="38">
        <f t="shared" si="1"/>
        <v>36213660.16713092</v>
      </c>
      <c r="K8" s="87">
        <v>7360</v>
      </c>
      <c r="L8" s="271"/>
      <c r="M8" s="41">
        <v>600</v>
      </c>
      <c r="N8" s="42">
        <f t="shared" si="2"/>
        <v>601.1555734123637</v>
      </c>
      <c r="O8" s="188">
        <f t="shared" si="3"/>
        <v>1.0019259556872728</v>
      </c>
      <c r="P8" s="357">
        <v>8</v>
      </c>
      <c r="Q8" s="180">
        <f>1.22*Q$5*P8</f>
        <v>4.88</v>
      </c>
      <c r="R8" s="180">
        <f t="shared" si="4"/>
        <v>4.88</v>
      </c>
      <c r="S8" s="186"/>
      <c r="T8" s="51">
        <f t="shared" si="5"/>
        <v>1.1966666666666668</v>
      </c>
      <c r="U8" s="51">
        <f t="shared" si="6"/>
        <v>3.4271752695560105</v>
      </c>
      <c r="V8" s="372">
        <f t="shared" si="7"/>
        <v>0.15778666666666666</v>
      </c>
      <c r="W8" s="187">
        <f aca="true" t="shared" si="22" ref="W8:W41">ATAN(I8/M8/1000)*180/PI()*3600</f>
        <v>1.6768357210388656</v>
      </c>
      <c r="X8" s="187">
        <f aca="true" t="shared" si="23" ref="X8:X41">ATAN(Q8/M8/1000)*180/PI()*3600</f>
        <v>1.6776204241060582</v>
      </c>
      <c r="Y8" s="187">
        <f t="shared" si="8"/>
        <v>1.6776204241060582</v>
      </c>
      <c r="Z8" s="90">
        <v>0.011111111111111112</v>
      </c>
      <c r="AA8" s="91">
        <f aca="true" t="shared" si="24" ref="AA8:AA41">K8*360/U8*Z8/86400</f>
        <v>0.09942320247452173</v>
      </c>
      <c r="AB8" s="209"/>
      <c r="AC8" s="211">
        <f t="shared" si="9"/>
        <v>6.138595165028099</v>
      </c>
      <c r="AD8" s="210">
        <f t="shared" si="10"/>
        <v>29.94233239463434</v>
      </c>
      <c r="AE8" s="232">
        <f>$AE$5/O8</f>
        <v>29.94233239463434</v>
      </c>
      <c r="AF8" s="213">
        <f t="shared" si="11"/>
        <v>1502.8889335309093</v>
      </c>
      <c r="AG8" s="214">
        <v>2</v>
      </c>
      <c r="AH8" s="237">
        <f t="shared" si="12"/>
        <v>0.11966666666666666</v>
      </c>
      <c r="AI8" s="215">
        <f t="shared" si="13"/>
        <v>1.9981386554553533</v>
      </c>
      <c r="AJ8" s="215">
        <f t="shared" si="14"/>
        <v>2.0018648156090073</v>
      </c>
      <c r="AK8" s="215">
        <f>AJ8-AI8</f>
        <v>0.0037261601536540123</v>
      </c>
      <c r="AL8" s="216">
        <f t="shared" si="15"/>
        <v>239.53865915707473</v>
      </c>
      <c r="AM8" s="216">
        <f t="shared" si="16"/>
        <v>7356.55737704918</v>
      </c>
      <c r="AN8" s="216">
        <f t="shared" si="17"/>
        <v>1198.971393639103</v>
      </c>
      <c r="AO8" s="213">
        <f t="shared" si="18"/>
        <v>36.17979037893039</v>
      </c>
      <c r="AP8" s="213">
        <f t="shared" si="19"/>
        <v>36.17979037893039</v>
      </c>
      <c r="AQ8" s="213">
        <f t="shared" si="20"/>
        <v>0.9610244475308477</v>
      </c>
      <c r="AR8" s="366"/>
      <c r="AS8" s="33">
        <f t="shared" si="21"/>
        <v>75</v>
      </c>
    </row>
    <row r="9" spans="1:45" ht="12.75">
      <c r="A9" s="24">
        <v>9</v>
      </c>
      <c r="B9" s="49" t="s">
        <v>204</v>
      </c>
      <c r="C9" s="49" t="s">
        <v>247</v>
      </c>
      <c r="D9" s="183"/>
      <c r="E9" s="33">
        <v>24</v>
      </c>
      <c r="F9" s="35">
        <v>35.9</v>
      </c>
      <c r="G9" s="119">
        <f t="shared" si="0"/>
        <v>1.4958333333333333</v>
      </c>
      <c r="H9" s="35">
        <f>SQRT(F9^2+E9^2)</f>
        <v>43.18344590233623</v>
      </c>
      <c r="I9" s="141">
        <f>F9/K9*1000</f>
        <v>5.967420212765957</v>
      </c>
      <c r="J9" s="38">
        <f t="shared" si="1"/>
        <v>24195380.055710312</v>
      </c>
      <c r="K9" s="87">
        <v>6016</v>
      </c>
      <c r="L9" s="271"/>
      <c r="M9" s="41">
        <v>600</v>
      </c>
      <c r="N9" s="42">
        <f t="shared" si="2"/>
        <v>601.1555734123637</v>
      </c>
      <c r="O9" s="188">
        <f t="shared" si="3"/>
        <v>1.0019259556872728</v>
      </c>
      <c r="P9" s="357">
        <v>8</v>
      </c>
      <c r="Q9" s="180">
        <f aca="true" t="shared" si="25" ref="Q9:Q41">1.22*Q$5*P9</f>
        <v>4.88</v>
      </c>
      <c r="R9" s="180">
        <f t="shared" si="4"/>
        <v>5.967420212765957</v>
      </c>
      <c r="S9" s="186"/>
      <c r="T9" s="51">
        <f t="shared" si="5"/>
        <v>1.1966666666666668</v>
      </c>
      <c r="U9" s="51">
        <f t="shared" si="6"/>
        <v>3.4271752695560105</v>
      </c>
      <c r="V9" s="372">
        <f t="shared" si="7"/>
        <v>0.1929465868794326</v>
      </c>
      <c r="W9" s="187">
        <f t="shared" si="22"/>
        <v>2.0514479565676536</v>
      </c>
      <c r="X9" s="187">
        <f t="shared" si="23"/>
        <v>1.6776204241060582</v>
      </c>
      <c r="Y9" s="187">
        <f t="shared" si="8"/>
        <v>2.0514479565676536</v>
      </c>
      <c r="Z9" s="90">
        <v>0.06666666666666667</v>
      </c>
      <c r="AA9" s="91">
        <f t="shared" si="24"/>
        <v>0.48760596691852387</v>
      </c>
      <c r="AB9" s="209"/>
      <c r="AC9" s="211">
        <f t="shared" si="9"/>
        <v>5.017634308805578</v>
      </c>
      <c r="AD9" s="210">
        <f t="shared" si="10"/>
        <v>29.942332394634345</v>
      </c>
      <c r="AE9" s="232">
        <f>$AE$5/O9</f>
        <v>29.94233239463434</v>
      </c>
      <c r="AF9" s="213">
        <f t="shared" si="11"/>
        <v>1502.888933530909</v>
      </c>
      <c r="AG9" s="214">
        <v>10</v>
      </c>
      <c r="AH9" s="237">
        <f t="shared" si="12"/>
        <v>0.5983333333333334</v>
      </c>
      <c r="AI9" s="215">
        <f t="shared" si="13"/>
        <v>9.937842565718887</v>
      </c>
      <c r="AJ9" s="215">
        <f t="shared" si="14"/>
        <v>10.062939870453386</v>
      </c>
      <c r="AK9" s="215">
        <f aca="true" t="shared" si="26" ref="AK9:AK41">AJ9-AI9</f>
        <v>0.1250973047344992</v>
      </c>
      <c r="AL9" s="216">
        <f t="shared" si="15"/>
        <v>239.53865915707476</v>
      </c>
      <c r="AM9" s="216">
        <f t="shared" si="16"/>
        <v>7356.55737704918</v>
      </c>
      <c r="AN9" s="216">
        <f t="shared" si="17"/>
        <v>1198.9713936391029</v>
      </c>
      <c r="AO9" s="213">
        <f t="shared" si="18"/>
        <v>36.17979037893039</v>
      </c>
      <c r="AP9" s="213">
        <f t="shared" si="19"/>
        <v>24.195380055710313</v>
      </c>
      <c r="AQ9" s="213">
        <f t="shared" si="20"/>
        <v>0.9610244475308475</v>
      </c>
      <c r="AR9" s="366"/>
      <c r="AS9" s="33">
        <f t="shared" si="21"/>
        <v>75</v>
      </c>
    </row>
    <row r="10" spans="1:45" ht="12.75">
      <c r="A10" s="24">
        <v>10</v>
      </c>
      <c r="B10" s="49" t="s">
        <v>204</v>
      </c>
      <c r="C10" s="49" t="s">
        <v>260</v>
      </c>
      <c r="D10" s="183"/>
      <c r="E10" s="33">
        <v>23.9</v>
      </c>
      <c r="F10" s="35">
        <v>36</v>
      </c>
      <c r="G10" s="119">
        <f t="shared" si="0"/>
        <v>1.5062761506276152</v>
      </c>
      <c r="H10" s="35">
        <f>SQRT(F10^2+E10^2)</f>
        <v>43.21122539340906</v>
      </c>
      <c r="I10" s="141">
        <f>F10/K10*1000</f>
        <v>7.305194805194805</v>
      </c>
      <c r="J10" s="38">
        <f t="shared" si="1"/>
        <v>16122663.822222222</v>
      </c>
      <c r="K10" s="87">
        <v>4928</v>
      </c>
      <c r="L10" s="271"/>
      <c r="M10" s="41">
        <v>600</v>
      </c>
      <c r="N10" s="42">
        <f t="shared" si="2"/>
        <v>600.7691044859921</v>
      </c>
      <c r="O10" s="188">
        <f t="shared" si="3"/>
        <v>1.0012818408099868</v>
      </c>
      <c r="P10" s="357">
        <v>8</v>
      </c>
      <c r="Q10" s="180">
        <f t="shared" si="25"/>
        <v>4.88</v>
      </c>
      <c r="R10" s="180">
        <f t="shared" si="4"/>
        <v>7.305194805194805</v>
      </c>
      <c r="S10" s="186"/>
      <c r="T10" s="51">
        <f t="shared" si="5"/>
        <v>1.2</v>
      </c>
      <c r="U10" s="51">
        <f t="shared" si="6"/>
        <v>3.4367160033109143</v>
      </c>
      <c r="V10" s="372">
        <f t="shared" si="7"/>
        <v>0.23620129870129872</v>
      </c>
      <c r="W10" s="187">
        <f t="shared" si="22"/>
        <v>2.5113409850272435</v>
      </c>
      <c r="X10" s="187">
        <f t="shared" si="23"/>
        <v>1.6776204241060582</v>
      </c>
      <c r="Y10" s="187">
        <f t="shared" si="8"/>
        <v>2.5113409850272435</v>
      </c>
      <c r="Z10" s="90">
        <v>0.011111111111111112</v>
      </c>
      <c r="AA10" s="91">
        <f t="shared" si="24"/>
        <v>0.06638551103098174</v>
      </c>
      <c r="AB10" s="209"/>
      <c r="AC10" s="211">
        <f t="shared" si="9"/>
        <v>4.10140931283102</v>
      </c>
      <c r="AD10" s="210">
        <f t="shared" si="10"/>
        <v>29.961594006070765</v>
      </c>
      <c r="AE10" s="232">
        <f aca="true" t="shared" si="27" ref="AE10:AE41">$AE$5/O10</f>
        <v>29.96159400607076</v>
      </c>
      <c r="AF10" s="213">
        <f t="shared" si="11"/>
        <v>1501.92276121498</v>
      </c>
      <c r="AG10" s="214">
        <v>2</v>
      </c>
      <c r="AH10" s="237">
        <f t="shared" si="12"/>
        <v>0.12</v>
      </c>
      <c r="AI10" s="215">
        <f t="shared" si="13"/>
        <v>1.9981374591855863</v>
      </c>
      <c r="AJ10" s="215">
        <f t="shared" si="14"/>
        <v>2.0018660163460185</v>
      </c>
      <c r="AK10" s="215">
        <f t="shared" si="26"/>
        <v>0.0037285571604321888</v>
      </c>
      <c r="AL10" s="216">
        <f t="shared" si="15"/>
        <v>239.69275204856612</v>
      </c>
      <c r="AM10" s="216">
        <f t="shared" si="16"/>
        <v>7377.049180327868</v>
      </c>
      <c r="AN10" s="216">
        <f t="shared" si="17"/>
        <v>1201.5382089719842</v>
      </c>
      <c r="AO10" s="213">
        <f t="shared" si="18"/>
        <v>36.1294006987369</v>
      </c>
      <c r="AP10" s="213">
        <f t="shared" si="19"/>
        <v>16.122663822222222</v>
      </c>
      <c r="AQ10" s="213">
        <f t="shared" si="20"/>
        <v>0.9584524504474587</v>
      </c>
      <c r="AR10" s="366"/>
      <c r="AS10" s="33">
        <f t="shared" si="21"/>
        <v>75</v>
      </c>
    </row>
    <row r="11" spans="1:45" ht="12.75">
      <c r="A11" s="24">
        <v>11</v>
      </c>
      <c r="B11" s="49" t="s">
        <v>204</v>
      </c>
      <c r="C11" s="49" t="s">
        <v>203</v>
      </c>
      <c r="D11" s="183"/>
      <c r="E11" s="33">
        <v>23.9</v>
      </c>
      <c r="F11" s="35">
        <v>36</v>
      </c>
      <c r="G11" s="119">
        <f t="shared" si="0"/>
        <v>1.5062761506276152</v>
      </c>
      <c r="H11" s="35">
        <f>SQRT(F11^2+E11^2)</f>
        <v>43.21122539340906</v>
      </c>
      <c r="I11" s="141">
        <f>F11/K11*1000</f>
        <v>8.458646616541353</v>
      </c>
      <c r="J11" s="38">
        <f t="shared" si="1"/>
        <v>12025375.28888889</v>
      </c>
      <c r="K11" s="87">
        <v>4256</v>
      </c>
      <c r="L11" s="271"/>
      <c r="M11" s="41">
        <v>50</v>
      </c>
      <c r="N11" s="42">
        <f t="shared" si="2"/>
        <v>50.06409204049935</v>
      </c>
      <c r="O11" s="188">
        <f t="shared" si="3"/>
        <v>1.0012818408099868</v>
      </c>
      <c r="P11" s="357">
        <v>11</v>
      </c>
      <c r="Q11" s="180">
        <f t="shared" si="25"/>
        <v>6.71</v>
      </c>
      <c r="R11" s="180">
        <f t="shared" si="4"/>
        <v>8.458646616541353</v>
      </c>
      <c r="S11" s="186"/>
      <c r="T11" s="51">
        <f t="shared" si="5"/>
        <v>14.4</v>
      </c>
      <c r="U11" s="51">
        <f t="shared" si="6"/>
        <v>39.597752709049864</v>
      </c>
      <c r="V11" s="372">
        <f t="shared" si="7"/>
        <v>3.375</v>
      </c>
      <c r="W11" s="187">
        <f t="shared" si="22"/>
        <v>34.894421776584444</v>
      </c>
      <c r="X11" s="187">
        <f t="shared" si="23"/>
        <v>27.68073683218696</v>
      </c>
      <c r="Y11" s="187">
        <f t="shared" si="8"/>
        <v>34.894421776584444</v>
      </c>
      <c r="Z11" s="90">
        <v>0.06666666666666667</v>
      </c>
      <c r="AA11" s="91">
        <f t="shared" si="24"/>
        <v>0.029855790830069794</v>
      </c>
      <c r="AB11" s="209"/>
      <c r="AC11" s="211">
        <f t="shared" si="9"/>
        <v>3.5421262247176992</v>
      </c>
      <c r="AD11" s="210">
        <f t="shared" si="10"/>
        <v>29.96159400607076</v>
      </c>
      <c r="AE11" s="232">
        <f t="shared" si="27"/>
        <v>29.96159400607076</v>
      </c>
      <c r="AF11" s="213">
        <f t="shared" si="11"/>
        <v>7.585468490984749</v>
      </c>
      <c r="AG11" s="214">
        <v>2</v>
      </c>
      <c r="AH11" s="237">
        <f t="shared" si="12"/>
        <v>1.44</v>
      </c>
      <c r="AI11" s="215">
        <f t="shared" si="13"/>
        <v>1.5910006934963679</v>
      </c>
      <c r="AJ11" s="215">
        <f t="shared" si="14"/>
        <v>2.6920453918319236</v>
      </c>
      <c r="AK11" s="215">
        <f t="shared" si="26"/>
        <v>1.1010446983355557</v>
      </c>
      <c r="AL11" s="216">
        <f t="shared" si="15"/>
        <v>329.57753406677836</v>
      </c>
      <c r="AM11" s="216">
        <f t="shared" si="16"/>
        <v>5365.126676602086</v>
      </c>
      <c r="AN11" s="216">
        <f t="shared" si="17"/>
        <v>1201.5382089719842</v>
      </c>
      <c r="AO11" s="213">
        <f t="shared" si="18"/>
        <v>19.109765658836046</v>
      </c>
      <c r="AP11" s="213">
        <f t="shared" si="19"/>
        <v>12.02537528888889</v>
      </c>
      <c r="AQ11" s="213">
        <f t="shared" si="20"/>
        <v>0.9584524504474591</v>
      </c>
      <c r="AR11" s="366"/>
      <c r="AS11" s="33">
        <f t="shared" si="21"/>
        <v>4.545454545454546</v>
      </c>
    </row>
    <row r="12" spans="1:45" ht="12.75">
      <c r="A12" s="24">
        <v>12</v>
      </c>
      <c r="B12" s="24" t="s">
        <v>15</v>
      </c>
      <c r="C12" s="24"/>
      <c r="D12" s="183"/>
      <c r="E12" s="33">
        <f>SQRT(H12^2-F12^2)</f>
        <v>16.700302392471816</v>
      </c>
      <c r="F12" s="35">
        <v>30.2</v>
      </c>
      <c r="G12" s="119">
        <f t="shared" si="0"/>
        <v>1.8083504891272864</v>
      </c>
      <c r="H12" s="35">
        <v>34.51</v>
      </c>
      <c r="I12" s="140">
        <v>10</v>
      </c>
      <c r="J12" s="38">
        <f t="shared" si="1"/>
        <v>5043491.322526488</v>
      </c>
      <c r="K12" s="38">
        <f>F12/I12*1000</f>
        <v>3020</v>
      </c>
      <c r="L12" s="220"/>
      <c r="M12" s="41">
        <v>39.88</v>
      </c>
      <c r="N12" s="42">
        <f t="shared" si="2"/>
        <v>49.99920656001295</v>
      </c>
      <c r="O12" s="188">
        <f t="shared" si="3"/>
        <v>1.253741388164818</v>
      </c>
      <c r="P12" s="357">
        <v>2.8</v>
      </c>
      <c r="Q12" s="180">
        <f t="shared" si="25"/>
        <v>1.708</v>
      </c>
      <c r="R12" s="180">
        <f t="shared" si="4"/>
        <v>10</v>
      </c>
      <c r="S12" s="186"/>
      <c r="T12" s="51">
        <f t="shared" si="5"/>
        <v>15.14543630892678</v>
      </c>
      <c r="U12" s="51">
        <f t="shared" si="6"/>
        <v>41.47693031215053</v>
      </c>
      <c r="V12" s="372">
        <f t="shared" si="7"/>
        <v>5.005045135406218</v>
      </c>
      <c r="W12" s="187">
        <f t="shared" si="22"/>
        <v>51.721364574727545</v>
      </c>
      <c r="X12" s="187">
        <f t="shared" si="23"/>
        <v>8.834009249113212</v>
      </c>
      <c r="Y12" s="187">
        <f t="shared" si="8"/>
        <v>51.721364574727545</v>
      </c>
      <c r="Z12" s="90">
        <v>0.06666666666666667</v>
      </c>
      <c r="AA12" s="91">
        <f t="shared" si="24"/>
        <v>0.020225433333072362</v>
      </c>
      <c r="AB12" s="209"/>
      <c r="AC12" s="211">
        <f t="shared" si="9"/>
        <v>2.3928379714665824</v>
      </c>
      <c r="AD12" s="210">
        <f t="shared" si="10"/>
        <v>23.928379714665823</v>
      </c>
      <c r="AE12" s="232">
        <f t="shared" si="27"/>
        <v>23.928379714665823</v>
      </c>
      <c r="AF12" s="213">
        <f t="shared" si="11"/>
        <v>23.73771854301567</v>
      </c>
      <c r="AG12" s="214">
        <v>2</v>
      </c>
      <c r="AH12" s="237">
        <f t="shared" si="12"/>
        <v>1.5145436308926779</v>
      </c>
      <c r="AI12" s="215">
        <f t="shared" si="13"/>
        <v>1.8474486485142358</v>
      </c>
      <c r="AJ12" s="215">
        <f t="shared" si="14"/>
        <v>2.180012501941233</v>
      </c>
      <c r="AK12" s="215">
        <f t="shared" si="26"/>
        <v>0.33256385342699724</v>
      </c>
      <c r="AL12" s="216">
        <f t="shared" si="15"/>
        <v>66.9994632010643</v>
      </c>
      <c r="AM12" s="216">
        <f t="shared" si="16"/>
        <v>17681.498829039814</v>
      </c>
      <c r="AN12" s="216">
        <f t="shared" si="17"/>
        <v>1262.0996640859169</v>
      </c>
      <c r="AO12" s="213">
        <f t="shared" si="18"/>
        <v>172.88429578284612</v>
      </c>
      <c r="AP12" s="213">
        <f t="shared" si="19"/>
        <v>5.043491322526489</v>
      </c>
      <c r="AQ12" s="213">
        <f t="shared" si="20"/>
        <v>0.8808555485582436</v>
      </c>
      <c r="AR12" s="366"/>
      <c r="AS12" s="33">
        <f t="shared" si="21"/>
        <v>14.242857142857146</v>
      </c>
    </row>
    <row r="13" spans="1:45" ht="12.75">
      <c r="A13" s="24">
        <v>13</v>
      </c>
      <c r="B13" s="40" t="s">
        <v>364</v>
      </c>
      <c r="C13" s="40"/>
      <c r="D13" s="183"/>
      <c r="E13" s="51">
        <v>14.8</v>
      </c>
      <c r="F13" s="397">
        <v>22.2</v>
      </c>
      <c r="G13" s="398">
        <f t="shared" si="0"/>
        <v>1.4999999999999998</v>
      </c>
      <c r="H13" s="397">
        <f aca="true" t="shared" si="28" ref="H13:H39">SQRT(F13^2+E13^2)</f>
        <v>26.68107943843352</v>
      </c>
      <c r="I13" s="141">
        <f aca="true" t="shared" si="29" ref="I13:I20">F13/K13*1000</f>
        <v>3.1896551724137927</v>
      </c>
      <c r="J13" s="38">
        <f>(E13*F13)/I13^2*1000000</f>
        <v>32294400.00000001</v>
      </c>
      <c r="K13" s="87">
        <v>6960</v>
      </c>
      <c r="L13" s="220"/>
      <c r="M13" s="41">
        <v>800</v>
      </c>
      <c r="N13" s="92">
        <f>M13*H$7/H13</f>
        <v>1297.2972972972973</v>
      </c>
      <c r="O13" s="188">
        <f>N13/M13</f>
        <v>1.6216216216216217</v>
      </c>
      <c r="P13" s="357">
        <v>11</v>
      </c>
      <c r="Q13" s="180">
        <f t="shared" si="25"/>
        <v>6.71</v>
      </c>
      <c r="R13" s="180">
        <f>MAX(I13,Q13)</f>
        <v>6.71</v>
      </c>
      <c r="S13" s="266"/>
      <c r="T13" s="51">
        <f>T$5*F13/M13</f>
        <v>0.555</v>
      </c>
      <c r="U13" s="93">
        <f>2*ATAN(F13/2/M13)*180/PI()</f>
        <v>1.5898558626934762</v>
      </c>
      <c r="V13" s="372">
        <f>(V$5*1000-M13)/M13*MAX(I13,Q13)/1000</f>
        <v>0.16104</v>
      </c>
      <c r="W13" s="187">
        <f>ATAN(I13/M13/1000)*180/PI()*3600</f>
        <v>0.822392007661867</v>
      </c>
      <c r="X13" s="187">
        <f>ATAN(Q13/M13/1000)*180/PI()*3600</f>
        <v>1.730046062356951</v>
      </c>
      <c r="Y13" s="187">
        <f>ATAN(R13/M13/1000)*180/PI()*3600</f>
        <v>1.730046062356951</v>
      </c>
      <c r="Z13" s="90">
        <v>0.06666666666666667</v>
      </c>
      <c r="AA13" s="94">
        <f>K13*360/U13*Z13/86400</f>
        <v>1.2160431512690402</v>
      </c>
      <c r="AB13" s="265"/>
      <c r="AC13" s="211">
        <f>AE13/I13</f>
        <v>5.800000000000001</v>
      </c>
      <c r="AD13" s="210">
        <f>AC13*I13</f>
        <v>18.5</v>
      </c>
      <c r="AE13" s="232">
        <f>$AE$5/O13</f>
        <v>18.5</v>
      </c>
      <c r="AF13" s="213">
        <f>M13^2/P13/AD13</f>
        <v>3144.963144963145</v>
      </c>
      <c r="AG13" s="214">
        <v>2</v>
      </c>
      <c r="AH13" s="237">
        <f>F13*AG13/M13</f>
        <v>0.0555</v>
      </c>
      <c r="AI13" s="215">
        <f>(AF13*AG13)/(AF13+AG13-M13/1000)</f>
        <v>1.999237166068822</v>
      </c>
      <c r="AJ13" s="215">
        <f>IF(AF13*AG13/(AF13-AG13+M13/1000)&lt;0,"infini",AF13*AG13/(AF13-AG13+M13/1000))</f>
        <v>2.0007634162910284</v>
      </c>
      <c r="AK13" s="215">
        <f>AJ13-AI13</f>
        <v>0.0015262502222064267</v>
      </c>
      <c r="AL13" s="216">
        <f>P13*AD13</f>
        <v>203.5</v>
      </c>
      <c r="AM13" s="216">
        <f>F13/Q13*1000</f>
        <v>3308.49478390462</v>
      </c>
      <c r="AN13" s="216">
        <f>F13/AD13*1000</f>
        <v>1200</v>
      </c>
      <c r="AO13" s="213">
        <f>E13*F13/Q13^2</f>
        <v>7.2974251567493855</v>
      </c>
      <c r="AP13" s="213">
        <f>E13*F13/R13^2</f>
        <v>7.2974251567493855</v>
      </c>
      <c r="AQ13" s="213">
        <f>E13*F13/AD13^2</f>
        <v>0.96</v>
      </c>
      <c r="AR13" s="366"/>
      <c r="AS13" s="33">
        <f>M13/P13</f>
        <v>72.72727272727273</v>
      </c>
    </row>
    <row r="14" spans="1:45" ht="12.75">
      <c r="A14" s="24">
        <v>14</v>
      </c>
      <c r="B14" s="40" t="s">
        <v>205</v>
      </c>
      <c r="C14" s="40"/>
      <c r="D14" s="183"/>
      <c r="E14" s="51">
        <v>14.9</v>
      </c>
      <c r="F14" s="397">
        <v>22.3</v>
      </c>
      <c r="G14" s="398">
        <f t="shared" si="0"/>
        <v>1.4966442953020134</v>
      </c>
      <c r="H14" s="397">
        <f t="shared" si="28"/>
        <v>26.819768828235638</v>
      </c>
      <c r="I14" s="141">
        <f t="shared" si="29"/>
        <v>4.301697530864198</v>
      </c>
      <c r="J14" s="38">
        <f t="shared" si="1"/>
        <v>17956074.188340805</v>
      </c>
      <c r="K14" s="87">
        <v>5184</v>
      </c>
      <c r="L14" s="271"/>
      <c r="M14" s="41">
        <v>400</v>
      </c>
      <c r="N14" s="92">
        <f t="shared" si="2"/>
        <v>645.2943809122937</v>
      </c>
      <c r="O14" s="188">
        <f t="shared" si="3"/>
        <v>1.6132359522807342</v>
      </c>
      <c r="P14" s="357">
        <v>5.6</v>
      </c>
      <c r="Q14" s="180">
        <f t="shared" si="25"/>
        <v>3.416</v>
      </c>
      <c r="R14" s="180">
        <f t="shared" si="4"/>
        <v>4.301697530864198</v>
      </c>
      <c r="S14" s="266"/>
      <c r="T14" s="51">
        <f t="shared" si="5"/>
        <v>1.115</v>
      </c>
      <c r="U14" s="93">
        <f t="shared" si="6"/>
        <v>3.1934127686259393</v>
      </c>
      <c r="V14" s="372">
        <f t="shared" si="7"/>
        <v>0.2107831790123457</v>
      </c>
      <c r="W14" s="187">
        <f t="shared" si="22"/>
        <v>2.218222019257776</v>
      </c>
      <c r="X14" s="187">
        <f t="shared" si="23"/>
        <v>1.76150144530738</v>
      </c>
      <c r="Y14" s="187">
        <f t="shared" si="8"/>
        <v>2.218222019257776</v>
      </c>
      <c r="Z14" s="90">
        <v>0.06666666666666667</v>
      </c>
      <c r="AA14" s="94">
        <f t="shared" si="24"/>
        <v>0.4509282402035371</v>
      </c>
      <c r="AB14" s="265"/>
      <c r="AC14" s="211">
        <f t="shared" si="9"/>
        <v>4.322982649581148</v>
      </c>
      <c r="AD14" s="210">
        <f t="shared" si="10"/>
        <v>18.59616378967199</v>
      </c>
      <c r="AE14" s="232">
        <f t="shared" si="27"/>
        <v>18.59616378967199</v>
      </c>
      <c r="AF14" s="213">
        <f t="shared" si="11"/>
        <v>1536.4151926483182</v>
      </c>
      <c r="AG14" s="214">
        <v>2</v>
      </c>
      <c r="AH14" s="237">
        <f t="shared" si="12"/>
        <v>0.1115</v>
      </c>
      <c r="AI14" s="215">
        <f t="shared" si="13"/>
        <v>1.9979193963653312</v>
      </c>
      <c r="AJ14" s="215">
        <f t="shared" si="14"/>
        <v>2.002084941571681</v>
      </c>
      <c r="AK14" s="215">
        <f t="shared" si="26"/>
        <v>0.004165545206349819</v>
      </c>
      <c r="AL14" s="216">
        <f t="shared" si="15"/>
        <v>104.13851722216314</v>
      </c>
      <c r="AM14" s="216">
        <f t="shared" si="16"/>
        <v>6528.103044496487</v>
      </c>
      <c r="AN14" s="216">
        <f t="shared" si="17"/>
        <v>1199.1720578620125</v>
      </c>
      <c r="AO14" s="213">
        <f t="shared" si="18"/>
        <v>28.474454146076603</v>
      </c>
      <c r="AP14" s="213">
        <f t="shared" si="19"/>
        <v>17.956074188340807</v>
      </c>
      <c r="AQ14" s="213">
        <f t="shared" si="20"/>
        <v>0.9608252467676908</v>
      </c>
      <c r="AR14" s="366"/>
      <c r="AS14" s="33">
        <f t="shared" si="21"/>
        <v>71.42857142857143</v>
      </c>
    </row>
    <row r="15" spans="1:45" ht="12.75">
      <c r="A15" s="24">
        <v>15</v>
      </c>
      <c r="B15" s="24" t="s">
        <v>282</v>
      </c>
      <c r="C15" s="24" t="s">
        <v>283</v>
      </c>
      <c r="D15" s="183"/>
      <c r="E15" s="33">
        <v>15.7</v>
      </c>
      <c r="F15" s="35">
        <v>23.5</v>
      </c>
      <c r="G15" s="119">
        <f t="shared" si="0"/>
        <v>1.496815286624204</v>
      </c>
      <c r="H15" s="35">
        <f t="shared" si="28"/>
        <v>28.261988606607286</v>
      </c>
      <c r="I15" s="141">
        <f t="shared" si="29"/>
        <v>4.220545977011494</v>
      </c>
      <c r="J15" s="38">
        <f>(E15*F15)/I15^2*1000000</f>
        <v>20712391.353191484</v>
      </c>
      <c r="K15" s="87">
        <v>5568</v>
      </c>
      <c r="L15" s="220"/>
      <c r="M15" s="41">
        <v>600</v>
      </c>
      <c r="N15" s="42">
        <f t="shared" si="2"/>
        <v>918.5471533758816</v>
      </c>
      <c r="O15" s="188">
        <f t="shared" si="3"/>
        <v>1.530911922293136</v>
      </c>
      <c r="P15" s="357">
        <v>8</v>
      </c>
      <c r="Q15" s="180">
        <f t="shared" si="25"/>
        <v>4.88</v>
      </c>
      <c r="R15" s="180">
        <f t="shared" si="4"/>
        <v>4.88</v>
      </c>
      <c r="S15" s="266"/>
      <c r="T15" s="51">
        <f t="shared" si="5"/>
        <v>0.7833333333333333</v>
      </c>
      <c r="U15" s="93">
        <f t="shared" si="6"/>
        <v>2.2437978895667383</v>
      </c>
      <c r="V15" s="372">
        <f t="shared" si="7"/>
        <v>0.15778666666666666</v>
      </c>
      <c r="W15" s="187">
        <f t="shared" si="22"/>
        <v>1.4509168303181323</v>
      </c>
      <c r="X15" s="187">
        <f t="shared" si="23"/>
        <v>1.6776204241060582</v>
      </c>
      <c r="Y15" s="187">
        <f t="shared" si="8"/>
        <v>1.6776204241060582</v>
      </c>
      <c r="Z15" s="90">
        <v>0.06666666666666667</v>
      </c>
      <c r="AA15" s="94">
        <f t="shared" si="24"/>
        <v>0.6893074790106507</v>
      </c>
      <c r="AB15" s="265"/>
      <c r="AC15" s="211">
        <f t="shared" si="9"/>
        <v>4.6430398789604155</v>
      </c>
      <c r="AD15" s="210">
        <f t="shared" si="10"/>
        <v>19.596163282250316</v>
      </c>
      <c r="AE15" s="232">
        <f t="shared" si="27"/>
        <v>19.596163282250316</v>
      </c>
      <c r="AF15" s="213">
        <f t="shared" si="11"/>
        <v>2296.3678834397037</v>
      </c>
      <c r="AG15" s="214">
        <v>2</v>
      </c>
      <c r="AH15" s="237">
        <f t="shared" si="12"/>
        <v>0.07833333333333334</v>
      </c>
      <c r="AI15" s="215">
        <f t="shared" si="13"/>
        <v>1.9987814260873868</v>
      </c>
      <c r="AJ15" s="215">
        <f t="shared" si="14"/>
        <v>2.001220060646689</v>
      </c>
      <c r="AK15" s="215">
        <f t="shared" si="26"/>
        <v>0.0024386345593021552</v>
      </c>
      <c r="AL15" s="216">
        <f t="shared" si="15"/>
        <v>156.76930625800253</v>
      </c>
      <c r="AM15" s="216">
        <f t="shared" si="16"/>
        <v>4815.573770491804</v>
      </c>
      <c r="AN15" s="216">
        <f t="shared" si="17"/>
        <v>1199.214339129623</v>
      </c>
      <c r="AO15" s="213">
        <f t="shared" si="18"/>
        <v>15.492727089492073</v>
      </c>
      <c r="AP15" s="213">
        <f t="shared" si="19"/>
        <v>15.492727089492073</v>
      </c>
      <c r="AQ15" s="213">
        <f t="shared" si="20"/>
        <v>0.9607832335929086</v>
      </c>
      <c r="AR15" s="368">
        <f aca="true" t="shared" si="30" ref="AR15:AR41">AH15*1000/(F15/R15)</f>
        <v>16.26666666666667</v>
      </c>
      <c r="AS15" s="33">
        <f t="shared" si="21"/>
        <v>75</v>
      </c>
    </row>
    <row r="16" spans="1:45" ht="12.75">
      <c r="A16" s="24">
        <v>16</v>
      </c>
      <c r="B16" s="44" t="s">
        <v>365</v>
      </c>
      <c r="C16" s="44"/>
      <c r="D16" s="183"/>
      <c r="E16" s="180">
        <v>15.7</v>
      </c>
      <c r="F16" s="182">
        <v>23.5</v>
      </c>
      <c r="G16" s="181">
        <f>F16/E16</f>
        <v>1.496815286624204</v>
      </c>
      <c r="H16" s="182">
        <f>SQRT(F16^2+E16^2)</f>
        <v>28.261988606607286</v>
      </c>
      <c r="I16" s="141">
        <f t="shared" si="29"/>
        <v>4.220545977011494</v>
      </c>
      <c r="J16" s="38">
        <f t="shared" si="1"/>
        <v>20712391.353191484</v>
      </c>
      <c r="K16" s="87">
        <v>5568</v>
      </c>
      <c r="L16" s="220"/>
      <c r="M16" s="41">
        <v>600</v>
      </c>
      <c r="N16" s="42">
        <f>M16*H$7/H16</f>
        <v>918.5471533758816</v>
      </c>
      <c r="O16" s="188">
        <f>N16/M16</f>
        <v>1.530911922293136</v>
      </c>
      <c r="P16" s="357">
        <v>8</v>
      </c>
      <c r="Q16" s="180">
        <f t="shared" si="25"/>
        <v>4.88</v>
      </c>
      <c r="R16" s="180">
        <f>MAX(I16,Q16)</f>
        <v>4.88</v>
      </c>
      <c r="S16" s="266"/>
      <c r="T16" s="51">
        <f>T$5*F16/M16</f>
        <v>0.7833333333333333</v>
      </c>
      <c r="U16" s="93">
        <f>2*ATAN(F16/2/M16)*180/PI()</f>
        <v>2.2437978895667383</v>
      </c>
      <c r="V16" s="372">
        <f>(V$5*1000-M16)/M16*MAX(I16,Q16)/1000</f>
        <v>0.15778666666666666</v>
      </c>
      <c r="W16" s="187">
        <f>ATAN(I16/M16/1000)*180/PI()*3600</f>
        <v>1.4509168303181323</v>
      </c>
      <c r="X16" s="187">
        <f>ATAN(Q16/M16/1000)*180/PI()*3600</f>
        <v>1.6776204241060582</v>
      </c>
      <c r="Y16" s="187">
        <f>ATAN(R16/M16/1000)*180/PI()*3600</f>
        <v>1.6776204241060582</v>
      </c>
      <c r="Z16" s="90">
        <v>0.06666666666666667</v>
      </c>
      <c r="AA16" s="94">
        <f>K16*360/U16*Z16/86400</f>
        <v>0.6893074790106507</v>
      </c>
      <c r="AB16" s="265"/>
      <c r="AC16" s="211">
        <f>AE16/I16</f>
        <v>4.6430398789604155</v>
      </c>
      <c r="AD16" s="210">
        <f>AC16*I16</f>
        <v>19.596163282250316</v>
      </c>
      <c r="AE16" s="232">
        <f>$AE$5/O16</f>
        <v>19.596163282250316</v>
      </c>
      <c r="AF16" s="213">
        <f>M16^2/P16/AD16</f>
        <v>2296.3678834397037</v>
      </c>
      <c r="AG16" s="214">
        <v>2</v>
      </c>
      <c r="AH16" s="237">
        <f>F16*AG16/M16</f>
        <v>0.07833333333333334</v>
      </c>
      <c r="AI16" s="215">
        <f>(AF16*AG16)/(AF16+AG16-M16/1000)</f>
        <v>1.9987814260873868</v>
      </c>
      <c r="AJ16" s="215">
        <f>IF(AF16*AG16/(AF16-AG16+M16/1000)&lt;0,"infini",AF16*AG16/(AF16-AG16+M16/1000))</f>
        <v>2.001220060646689</v>
      </c>
      <c r="AK16" s="215">
        <f>AJ16-AI16</f>
        <v>0.0024386345593021552</v>
      </c>
      <c r="AL16" s="216">
        <f>P16*AD16</f>
        <v>156.76930625800253</v>
      </c>
      <c r="AM16" s="216">
        <f>F16/Q16*1000</f>
        <v>4815.573770491804</v>
      </c>
      <c r="AN16" s="216">
        <f>F16/AD16*1000</f>
        <v>1199.214339129623</v>
      </c>
      <c r="AO16" s="213">
        <f>E16*F16/Q16^2</f>
        <v>15.492727089492073</v>
      </c>
      <c r="AP16" s="213">
        <f>E16*F16/R16^2</f>
        <v>15.492727089492073</v>
      </c>
      <c r="AQ16" s="213">
        <f>E16*F16/AD16^2</f>
        <v>0.9607832335929086</v>
      </c>
      <c r="AR16" s="368">
        <f>AH16*1000/(F16/R16)</f>
        <v>16.26666666666667</v>
      </c>
      <c r="AS16" s="33">
        <f>M16/P16</f>
        <v>75</v>
      </c>
    </row>
    <row r="17" spans="1:45" ht="12.75">
      <c r="A17" s="24">
        <v>17</v>
      </c>
      <c r="B17" s="44" t="s">
        <v>226</v>
      </c>
      <c r="C17" s="44" t="s">
        <v>227</v>
      </c>
      <c r="D17" s="183"/>
      <c r="E17" s="180">
        <v>15.6</v>
      </c>
      <c r="F17" s="182">
        <v>23.5</v>
      </c>
      <c r="G17" s="181">
        <f t="shared" si="0"/>
        <v>1.5064102564102564</v>
      </c>
      <c r="H17" s="182">
        <f t="shared" si="28"/>
        <v>28.20655952079232</v>
      </c>
      <c r="I17" s="141">
        <f t="shared" si="29"/>
        <v>3.9166666666666665</v>
      </c>
      <c r="J17" s="38">
        <f t="shared" si="1"/>
        <v>23897872.340425532</v>
      </c>
      <c r="K17" s="87">
        <v>6000</v>
      </c>
      <c r="L17" s="271"/>
      <c r="M17" s="41">
        <v>600</v>
      </c>
      <c r="N17" s="92">
        <f t="shared" si="2"/>
        <v>920.3522026216797</v>
      </c>
      <c r="O17" s="188">
        <f t="shared" si="3"/>
        <v>1.5339203377027995</v>
      </c>
      <c r="P17" s="357">
        <v>8</v>
      </c>
      <c r="Q17" s="180">
        <f t="shared" si="25"/>
        <v>4.88</v>
      </c>
      <c r="R17" s="180">
        <f t="shared" si="4"/>
        <v>4.88</v>
      </c>
      <c r="S17" s="266"/>
      <c r="T17" s="51">
        <f t="shared" si="5"/>
        <v>0.7833333333333333</v>
      </c>
      <c r="U17" s="93">
        <f t="shared" si="6"/>
        <v>2.2437978895667383</v>
      </c>
      <c r="V17" s="372">
        <f t="shared" si="7"/>
        <v>0.15778666666666666</v>
      </c>
      <c r="W17" s="187">
        <f t="shared" si="22"/>
        <v>1.3464508185383097</v>
      </c>
      <c r="X17" s="187">
        <f t="shared" si="23"/>
        <v>1.6776204241060582</v>
      </c>
      <c r="Y17" s="187">
        <f t="shared" si="8"/>
        <v>1.6776204241060582</v>
      </c>
      <c r="Z17" s="90">
        <v>0.016666666666666666</v>
      </c>
      <c r="AA17" s="94">
        <f t="shared" si="24"/>
        <v>0.18569705792312788</v>
      </c>
      <c r="AB17" s="265"/>
      <c r="AC17" s="211">
        <f t="shared" si="9"/>
        <v>4.993463010964502</v>
      </c>
      <c r="AD17" s="210">
        <f t="shared" si="10"/>
        <v>19.557730126277633</v>
      </c>
      <c r="AE17" s="232">
        <f t="shared" si="27"/>
        <v>19.557730126277633</v>
      </c>
      <c r="AF17" s="213">
        <f t="shared" si="11"/>
        <v>2300.880506554199</v>
      </c>
      <c r="AG17" s="214">
        <v>2</v>
      </c>
      <c r="AH17" s="237">
        <f t="shared" si="12"/>
        <v>0.07833333333333334</v>
      </c>
      <c r="AI17" s="215">
        <f t="shared" si="13"/>
        <v>1.9987838145734071</v>
      </c>
      <c r="AJ17" s="215">
        <f t="shared" si="14"/>
        <v>2.0012176663346435</v>
      </c>
      <c r="AK17" s="215">
        <f t="shared" si="26"/>
        <v>0.0024338517612363386</v>
      </c>
      <c r="AL17" s="216">
        <f t="shared" si="15"/>
        <v>156.46184101022106</v>
      </c>
      <c r="AM17" s="216">
        <f t="shared" si="16"/>
        <v>4815.573770491804</v>
      </c>
      <c r="AN17" s="216">
        <f t="shared" si="17"/>
        <v>1201.5709312005263</v>
      </c>
      <c r="AO17" s="213">
        <f t="shared" si="18"/>
        <v>15.39404729911314</v>
      </c>
      <c r="AP17" s="213">
        <f t="shared" si="19"/>
        <v>15.39404729911314</v>
      </c>
      <c r="AQ17" s="213">
        <f t="shared" si="20"/>
        <v>0.9584193260517085</v>
      </c>
      <c r="AR17" s="368">
        <f t="shared" si="30"/>
        <v>16.26666666666667</v>
      </c>
      <c r="AS17" s="33">
        <f t="shared" si="21"/>
        <v>75</v>
      </c>
    </row>
    <row r="18" spans="1:45" ht="12.75">
      <c r="A18" s="24">
        <v>18</v>
      </c>
      <c r="B18" s="49" t="s">
        <v>149</v>
      </c>
      <c r="C18" s="24" t="s">
        <v>157</v>
      </c>
      <c r="D18" s="183"/>
      <c r="E18" s="33">
        <v>15.6</v>
      </c>
      <c r="F18" s="35">
        <v>23.6</v>
      </c>
      <c r="G18" s="119">
        <f t="shared" si="0"/>
        <v>1.512820512820513</v>
      </c>
      <c r="H18" s="35">
        <f t="shared" si="28"/>
        <v>28.28992753613908</v>
      </c>
      <c r="I18" s="141">
        <f t="shared" si="29"/>
        <v>4.788961038961038</v>
      </c>
      <c r="J18" s="38">
        <f t="shared" si="1"/>
        <v>16052918.23728814</v>
      </c>
      <c r="K18" s="87">
        <v>4928</v>
      </c>
      <c r="L18" s="271"/>
      <c r="M18" s="41">
        <v>600</v>
      </c>
      <c r="N18" s="92">
        <f t="shared" si="2"/>
        <v>917.6400027952726</v>
      </c>
      <c r="O18" s="188">
        <f t="shared" si="3"/>
        <v>1.5294000046587877</v>
      </c>
      <c r="P18" s="357">
        <v>8</v>
      </c>
      <c r="Q18" s="180">
        <f t="shared" si="25"/>
        <v>4.88</v>
      </c>
      <c r="R18" s="180">
        <f t="shared" si="4"/>
        <v>4.88</v>
      </c>
      <c r="S18" s="266"/>
      <c r="T18" s="51">
        <f t="shared" si="5"/>
        <v>0.7866666666666666</v>
      </c>
      <c r="U18" s="93">
        <f t="shared" si="6"/>
        <v>2.253343509740617</v>
      </c>
      <c r="V18" s="372">
        <f t="shared" si="7"/>
        <v>0.15778666666666666</v>
      </c>
      <c r="W18" s="187">
        <f t="shared" si="22"/>
        <v>1.6463235346753595</v>
      </c>
      <c r="X18" s="187">
        <f t="shared" si="23"/>
        <v>1.6776204241060582</v>
      </c>
      <c r="Y18" s="187">
        <f t="shared" si="8"/>
        <v>1.6776204241060582</v>
      </c>
      <c r="Z18" s="90">
        <v>0.06666666666666667</v>
      </c>
      <c r="AA18" s="94">
        <f t="shared" si="24"/>
        <v>0.6074923255027646</v>
      </c>
      <c r="AB18" s="265"/>
      <c r="AC18" s="211">
        <f t="shared" si="9"/>
        <v>4.095989774145855</v>
      </c>
      <c r="AD18" s="210">
        <f t="shared" si="10"/>
        <v>19.615535444367325</v>
      </c>
      <c r="AE18" s="232">
        <f t="shared" si="27"/>
        <v>19.615535444367325</v>
      </c>
      <c r="AF18" s="213">
        <f t="shared" si="11"/>
        <v>2294.1000069881816</v>
      </c>
      <c r="AG18" s="214">
        <v>2</v>
      </c>
      <c r="AH18" s="237">
        <f t="shared" si="12"/>
        <v>0.07866666666666668</v>
      </c>
      <c r="AI18" s="215">
        <f t="shared" si="13"/>
        <v>1.9987802221775317</v>
      </c>
      <c r="AJ18" s="215">
        <f t="shared" si="14"/>
        <v>2.001221267497477</v>
      </c>
      <c r="AK18" s="215">
        <f t="shared" si="26"/>
        <v>0.0024410453199454896</v>
      </c>
      <c r="AL18" s="216">
        <f t="shared" si="15"/>
        <v>156.9242835549386</v>
      </c>
      <c r="AM18" s="216">
        <f t="shared" si="16"/>
        <v>4836.065573770492</v>
      </c>
      <c r="AN18" s="216">
        <f t="shared" si="17"/>
        <v>1203.128003664913</v>
      </c>
      <c r="AO18" s="213">
        <f t="shared" si="18"/>
        <v>15.459553883364688</v>
      </c>
      <c r="AP18" s="213">
        <f t="shared" si="19"/>
        <v>15.459553883364688</v>
      </c>
      <c r="AQ18" s="213">
        <f t="shared" si="20"/>
        <v>0.9568332666933226</v>
      </c>
      <c r="AR18" s="368">
        <f t="shared" si="30"/>
        <v>16.266666666666666</v>
      </c>
      <c r="AS18" s="33">
        <f t="shared" si="21"/>
        <v>75</v>
      </c>
    </row>
    <row r="19" spans="1:45" ht="12.75">
      <c r="A19" s="24">
        <v>19</v>
      </c>
      <c r="B19" s="49" t="s">
        <v>92</v>
      </c>
      <c r="C19" s="24" t="s">
        <v>181</v>
      </c>
      <c r="D19" s="183"/>
      <c r="E19" s="33">
        <v>15.8</v>
      </c>
      <c r="F19" s="35">
        <v>23.6</v>
      </c>
      <c r="G19" s="119">
        <f t="shared" si="0"/>
        <v>1.4936708860759493</v>
      </c>
      <c r="H19" s="35">
        <f t="shared" si="28"/>
        <v>28.400704216621108</v>
      </c>
      <c r="I19" s="141">
        <f t="shared" si="29"/>
        <v>5.503731343283582</v>
      </c>
      <c r="J19" s="38">
        <f t="shared" si="1"/>
        <v>12309903.18644068</v>
      </c>
      <c r="K19" s="87">
        <v>4288</v>
      </c>
      <c r="L19" s="271"/>
      <c r="M19" s="41">
        <v>420</v>
      </c>
      <c r="N19" s="42">
        <f t="shared" si="2"/>
        <v>639.8425295983899</v>
      </c>
      <c r="O19" s="188">
        <f t="shared" si="3"/>
        <v>1.5234345942818808</v>
      </c>
      <c r="P19" s="357">
        <v>8</v>
      </c>
      <c r="Q19" s="180">
        <f t="shared" si="25"/>
        <v>4.88</v>
      </c>
      <c r="R19" s="180">
        <f t="shared" si="4"/>
        <v>5.503731343283582</v>
      </c>
      <c r="S19" s="186"/>
      <c r="T19" s="51">
        <f t="shared" si="5"/>
        <v>1.1238095238095238</v>
      </c>
      <c r="U19" s="51">
        <f t="shared" si="6"/>
        <v>3.218630445565039</v>
      </c>
      <c r="V19" s="372">
        <f t="shared" si="7"/>
        <v>0.25657871357498224</v>
      </c>
      <c r="W19" s="187">
        <f t="shared" si="22"/>
        <v>2.7029192359368572</v>
      </c>
      <c r="X19" s="187">
        <f t="shared" si="23"/>
        <v>2.3966006058107947</v>
      </c>
      <c r="Y19" s="187">
        <f t="shared" si="8"/>
        <v>2.7029192359368572</v>
      </c>
      <c r="Z19" s="90">
        <v>0.06666666666666667</v>
      </c>
      <c r="AA19" s="91">
        <f t="shared" si="24"/>
        <v>0.3700676829029399</v>
      </c>
      <c r="AB19" s="209"/>
      <c r="AC19" s="211">
        <f t="shared" si="9"/>
        <v>3.5779990017861896</v>
      </c>
      <c r="AD19" s="210">
        <f t="shared" si="10"/>
        <v>19.69234525236802</v>
      </c>
      <c r="AE19" s="232">
        <f t="shared" si="27"/>
        <v>19.69234525236802</v>
      </c>
      <c r="AF19" s="213">
        <f t="shared" si="11"/>
        <v>1119.7244267971826</v>
      </c>
      <c r="AG19" s="214">
        <v>2</v>
      </c>
      <c r="AH19" s="237">
        <f t="shared" si="12"/>
        <v>0.11238095238095239</v>
      </c>
      <c r="AI19" s="215">
        <f t="shared" si="13"/>
        <v>1.9971818536300388</v>
      </c>
      <c r="AJ19" s="215">
        <f t="shared" si="14"/>
        <v>2.0028261107637513</v>
      </c>
      <c r="AK19" s="215">
        <f t="shared" si="26"/>
        <v>0.005644257133712527</v>
      </c>
      <c r="AL19" s="216">
        <f t="shared" si="15"/>
        <v>157.53876201894417</v>
      </c>
      <c r="AM19" s="216">
        <f t="shared" si="16"/>
        <v>4836.065573770492</v>
      </c>
      <c r="AN19" s="216">
        <f t="shared" si="17"/>
        <v>1198.435214168413</v>
      </c>
      <c r="AO19" s="213">
        <f t="shared" si="18"/>
        <v>15.657753292125776</v>
      </c>
      <c r="AP19" s="213">
        <f t="shared" si="19"/>
        <v>12.30990318644068</v>
      </c>
      <c r="AQ19" s="213">
        <f t="shared" si="20"/>
        <v>0.9615551698487486</v>
      </c>
      <c r="AR19" s="368">
        <f t="shared" si="30"/>
        <v>26.208244491826584</v>
      </c>
      <c r="AS19" s="33">
        <f t="shared" si="21"/>
        <v>52.5</v>
      </c>
    </row>
    <row r="20" spans="1:45" ht="12.75">
      <c r="A20" s="24">
        <v>20</v>
      </c>
      <c r="B20" s="49" t="s">
        <v>224</v>
      </c>
      <c r="C20" s="24"/>
      <c r="D20" s="183"/>
      <c r="E20" s="33">
        <v>15.6</v>
      </c>
      <c r="F20" s="35">
        <v>23.4</v>
      </c>
      <c r="G20" s="119">
        <f t="shared" si="0"/>
        <v>1.5</v>
      </c>
      <c r="H20" s="35">
        <f t="shared" si="28"/>
        <v>28.123299948619117</v>
      </c>
      <c r="I20" s="141">
        <f t="shared" si="29"/>
        <v>4.991467576791808</v>
      </c>
      <c r="J20" s="38">
        <f t="shared" si="1"/>
        <v>14651562.666666668</v>
      </c>
      <c r="K20" s="87">
        <v>4688</v>
      </c>
      <c r="L20" s="271"/>
      <c r="M20" s="41">
        <v>200</v>
      </c>
      <c r="N20" s="42">
        <f t="shared" si="2"/>
        <v>307.69230769230774</v>
      </c>
      <c r="O20" s="188">
        <f t="shared" si="3"/>
        <v>1.5384615384615388</v>
      </c>
      <c r="P20" s="357">
        <v>2.8</v>
      </c>
      <c r="Q20" s="180">
        <f t="shared" si="25"/>
        <v>1.708</v>
      </c>
      <c r="R20" s="180">
        <f t="shared" si="4"/>
        <v>4.991467576791808</v>
      </c>
      <c r="S20" s="186"/>
      <c r="T20" s="51">
        <f t="shared" si="5"/>
        <v>2.34</v>
      </c>
      <c r="U20" s="51">
        <f t="shared" si="6"/>
        <v>6.695974728225217</v>
      </c>
      <c r="V20" s="372">
        <f t="shared" si="7"/>
        <v>0.494155290102389</v>
      </c>
      <c r="W20" s="187">
        <f t="shared" si="22"/>
        <v>5.147820462009324</v>
      </c>
      <c r="X20" s="187">
        <f t="shared" si="23"/>
        <v>1.76150144530738</v>
      </c>
      <c r="Y20" s="187">
        <f t="shared" si="8"/>
        <v>5.147820462009324</v>
      </c>
      <c r="Z20" s="90">
        <v>0.0666666666666667</v>
      </c>
      <c r="AA20" s="91">
        <f t="shared" si="24"/>
        <v>0.1944783657460696</v>
      </c>
      <c r="AB20" s="209"/>
      <c r="AC20" s="211">
        <f t="shared" si="9"/>
        <v>3.9066666666666663</v>
      </c>
      <c r="AD20" s="210">
        <f t="shared" si="10"/>
        <v>19.499999999999996</v>
      </c>
      <c r="AE20" s="232">
        <f t="shared" si="27"/>
        <v>19.499999999999996</v>
      </c>
      <c r="AF20" s="213">
        <f t="shared" si="11"/>
        <v>732.6007326007327</v>
      </c>
      <c r="AG20" s="214">
        <v>2</v>
      </c>
      <c r="AH20" s="237">
        <f t="shared" si="12"/>
        <v>0.23399999999999999</v>
      </c>
      <c r="AI20" s="215">
        <f t="shared" si="13"/>
        <v>1.9950980441056325</v>
      </c>
      <c r="AJ20" s="215">
        <f t="shared" si="14"/>
        <v>2.0049261034361425</v>
      </c>
      <c r="AK20" s="215">
        <f t="shared" si="26"/>
        <v>0.009828059330510008</v>
      </c>
      <c r="AL20" s="216">
        <f t="shared" si="15"/>
        <v>54.59999999999999</v>
      </c>
      <c r="AM20" s="216">
        <f t="shared" si="16"/>
        <v>13700.234192037471</v>
      </c>
      <c r="AN20" s="216">
        <f t="shared" si="17"/>
        <v>1200.0000000000002</v>
      </c>
      <c r="AO20" s="213">
        <f t="shared" si="18"/>
        <v>125.13094461111507</v>
      </c>
      <c r="AP20" s="213">
        <f t="shared" si="19"/>
        <v>14.651562666666669</v>
      </c>
      <c r="AQ20" s="213">
        <f t="shared" si="20"/>
        <v>0.9600000000000002</v>
      </c>
      <c r="AR20" s="368">
        <f t="shared" si="30"/>
        <v>49.914675767918084</v>
      </c>
      <c r="AS20" s="33">
        <f t="shared" si="21"/>
        <v>71.42857142857143</v>
      </c>
    </row>
    <row r="21" spans="1:45" ht="12.75">
      <c r="A21" s="24">
        <v>21</v>
      </c>
      <c r="B21" s="24" t="s">
        <v>14</v>
      </c>
      <c r="C21" s="24"/>
      <c r="D21" s="183"/>
      <c r="E21" s="33">
        <v>15.6</v>
      </c>
      <c r="F21" s="35">
        <v>23.4</v>
      </c>
      <c r="G21" s="119">
        <f t="shared" si="0"/>
        <v>1.5</v>
      </c>
      <c r="H21" s="35">
        <f t="shared" si="28"/>
        <v>28.123299948619117</v>
      </c>
      <c r="I21" s="140">
        <v>5</v>
      </c>
      <c r="J21" s="38">
        <f t="shared" si="1"/>
        <v>14601599.999999998</v>
      </c>
      <c r="K21" s="38">
        <f>F21/I21*1000</f>
        <v>4680</v>
      </c>
      <c r="L21" s="220"/>
      <c r="M21" s="41">
        <v>32.5</v>
      </c>
      <c r="N21" s="42">
        <f t="shared" si="2"/>
        <v>50.00000000000001</v>
      </c>
      <c r="O21" s="188">
        <f t="shared" si="3"/>
        <v>1.5384615384615388</v>
      </c>
      <c r="P21" s="357">
        <v>2.8</v>
      </c>
      <c r="Q21" s="180">
        <f t="shared" si="25"/>
        <v>1.708</v>
      </c>
      <c r="R21" s="180">
        <f t="shared" si="4"/>
        <v>5</v>
      </c>
      <c r="S21" s="186"/>
      <c r="T21" s="51">
        <f t="shared" si="5"/>
        <v>14.4</v>
      </c>
      <c r="U21" s="51">
        <f t="shared" si="6"/>
        <v>39.597752709049864</v>
      </c>
      <c r="V21" s="372">
        <f t="shared" si="7"/>
        <v>3.0719230769230768</v>
      </c>
      <c r="W21" s="187">
        <f t="shared" si="22"/>
        <v>31.73304686457856</v>
      </c>
      <c r="X21" s="187">
        <f t="shared" si="23"/>
        <v>10.84000888448309</v>
      </c>
      <c r="Y21" s="187">
        <f t="shared" si="8"/>
        <v>31.73304686457856</v>
      </c>
      <c r="Z21" s="90">
        <v>0.0666666666666667</v>
      </c>
      <c r="AA21" s="91">
        <f t="shared" si="24"/>
        <v>0.03283014593156172</v>
      </c>
      <c r="AB21" s="209"/>
      <c r="AC21" s="211">
        <f t="shared" si="9"/>
        <v>3.8999999999999995</v>
      </c>
      <c r="AD21" s="210">
        <f t="shared" si="10"/>
        <v>19.499999999999996</v>
      </c>
      <c r="AE21" s="232">
        <f t="shared" si="27"/>
        <v>19.499999999999996</v>
      </c>
      <c r="AF21" s="213">
        <f t="shared" si="11"/>
        <v>19.345238095238102</v>
      </c>
      <c r="AG21" s="214">
        <v>2</v>
      </c>
      <c r="AH21" s="237">
        <f t="shared" si="12"/>
        <v>1.44</v>
      </c>
      <c r="AI21" s="215">
        <f t="shared" si="13"/>
        <v>1.8153686315471969</v>
      </c>
      <c r="AJ21" s="215">
        <f t="shared" si="14"/>
        <v>2.2264391360046036</v>
      </c>
      <c r="AK21" s="215">
        <f t="shared" si="26"/>
        <v>0.4110705044574068</v>
      </c>
      <c r="AL21" s="216">
        <f t="shared" si="15"/>
        <v>54.59999999999999</v>
      </c>
      <c r="AM21" s="216">
        <f t="shared" si="16"/>
        <v>13700.234192037471</v>
      </c>
      <c r="AN21" s="216">
        <f t="shared" si="17"/>
        <v>1200.0000000000002</v>
      </c>
      <c r="AO21" s="213">
        <f t="shared" si="18"/>
        <v>125.13094461111507</v>
      </c>
      <c r="AP21" s="213">
        <f t="shared" si="19"/>
        <v>14.601599999999998</v>
      </c>
      <c r="AQ21" s="213">
        <f t="shared" si="20"/>
        <v>0.9600000000000002</v>
      </c>
      <c r="AR21" s="368">
        <f t="shared" si="30"/>
        <v>307.69230769230774</v>
      </c>
      <c r="AS21" s="33">
        <f t="shared" si="21"/>
        <v>11.607142857142858</v>
      </c>
    </row>
    <row r="22" spans="1:45" ht="12.75">
      <c r="A22" s="24">
        <v>22</v>
      </c>
      <c r="B22" s="24" t="s">
        <v>176</v>
      </c>
      <c r="C22" s="24" t="s">
        <v>177</v>
      </c>
      <c r="D22" s="183"/>
      <c r="E22" s="33">
        <v>14.8</v>
      </c>
      <c r="F22" s="35">
        <v>22.2</v>
      </c>
      <c r="G22" s="119">
        <f t="shared" si="0"/>
        <v>1.4999999999999998</v>
      </c>
      <c r="H22" s="35">
        <f t="shared" si="28"/>
        <v>26.68107943843352</v>
      </c>
      <c r="I22" s="140">
        <v>5.19</v>
      </c>
      <c r="J22" s="38">
        <f t="shared" si="1"/>
        <v>12197756.91358437</v>
      </c>
      <c r="K22" s="38">
        <f>F22/I22*1000</f>
        <v>4277.456647398843</v>
      </c>
      <c r="L22" s="220"/>
      <c r="M22" s="41">
        <v>32.5</v>
      </c>
      <c r="N22" s="42">
        <f t="shared" si="2"/>
        <v>52.70270270270271</v>
      </c>
      <c r="O22" s="188">
        <f t="shared" si="3"/>
        <v>1.6216216216216217</v>
      </c>
      <c r="P22" s="357">
        <v>8</v>
      </c>
      <c r="Q22" s="180">
        <f t="shared" si="25"/>
        <v>4.88</v>
      </c>
      <c r="R22" s="180">
        <f t="shared" si="4"/>
        <v>5.19</v>
      </c>
      <c r="S22" s="186"/>
      <c r="T22" s="51">
        <f t="shared" si="5"/>
        <v>13.661538461538461</v>
      </c>
      <c r="U22" s="51">
        <f t="shared" si="6"/>
        <v>37.71401909203827</v>
      </c>
      <c r="V22" s="372">
        <f t="shared" si="7"/>
        <v>3.188656153846154</v>
      </c>
      <c r="W22" s="187">
        <f t="shared" si="22"/>
        <v>32.938902625306945</v>
      </c>
      <c r="X22" s="187">
        <f t="shared" si="23"/>
        <v>30.971453751416764</v>
      </c>
      <c r="Y22" s="187">
        <f t="shared" si="8"/>
        <v>32.938902625306945</v>
      </c>
      <c r="Z22" s="90">
        <v>0.0666666666666667</v>
      </c>
      <c r="AA22" s="91">
        <f t="shared" si="24"/>
        <v>0.03150505914406957</v>
      </c>
      <c r="AB22" s="209"/>
      <c r="AC22" s="211">
        <f t="shared" si="9"/>
        <v>3.564547206165703</v>
      </c>
      <c r="AD22" s="210">
        <f t="shared" si="10"/>
        <v>18.5</v>
      </c>
      <c r="AE22" s="232">
        <f t="shared" si="27"/>
        <v>18.5</v>
      </c>
      <c r="AF22" s="213">
        <f t="shared" si="11"/>
        <v>7.136824324324325</v>
      </c>
      <c r="AG22" s="214">
        <v>2</v>
      </c>
      <c r="AH22" s="237">
        <f t="shared" si="12"/>
        <v>1.366153846153846</v>
      </c>
      <c r="AI22" s="215">
        <f t="shared" si="13"/>
        <v>1.5677878050228582</v>
      </c>
      <c r="AJ22" s="215">
        <f t="shared" si="14"/>
        <v>2.7612213421169582</v>
      </c>
      <c r="AK22" s="215">
        <f t="shared" si="26"/>
        <v>1.1934335370941</v>
      </c>
      <c r="AL22" s="216">
        <f t="shared" si="15"/>
        <v>148</v>
      </c>
      <c r="AM22" s="216">
        <f t="shared" si="16"/>
        <v>4549.180327868853</v>
      </c>
      <c r="AN22" s="216">
        <f t="shared" si="17"/>
        <v>1200</v>
      </c>
      <c r="AO22" s="213">
        <f t="shared" si="18"/>
        <v>13.796694436979307</v>
      </c>
      <c r="AP22" s="213">
        <f t="shared" si="19"/>
        <v>12.19775691358437</v>
      </c>
      <c r="AQ22" s="213">
        <f t="shared" si="20"/>
        <v>0.96</v>
      </c>
      <c r="AR22" s="368">
        <f t="shared" si="30"/>
        <v>319.38461538461536</v>
      </c>
      <c r="AS22" s="33">
        <f t="shared" si="21"/>
        <v>4.0625</v>
      </c>
    </row>
    <row r="23" spans="1:45" ht="12.75">
      <c r="A23" s="24">
        <v>23</v>
      </c>
      <c r="B23" s="36" t="s">
        <v>87</v>
      </c>
      <c r="C23" s="36"/>
      <c r="D23" s="268"/>
      <c r="E23" s="33">
        <v>13.5</v>
      </c>
      <c r="F23" s="33">
        <v>18</v>
      </c>
      <c r="G23" s="119">
        <f t="shared" si="0"/>
        <v>1.3333333333333333</v>
      </c>
      <c r="H23" s="35">
        <f t="shared" si="28"/>
        <v>22.5</v>
      </c>
      <c r="I23" s="140">
        <v>5</v>
      </c>
      <c r="J23" s="38">
        <f t="shared" si="1"/>
        <v>9720000</v>
      </c>
      <c r="K23" s="38">
        <f>F23/I23*1000</f>
        <v>3600</v>
      </c>
      <c r="L23" s="220"/>
      <c r="M23" s="41">
        <v>400</v>
      </c>
      <c r="N23" s="42">
        <f t="shared" si="2"/>
        <v>769.1842720989845</v>
      </c>
      <c r="O23" s="188">
        <f t="shared" si="3"/>
        <v>1.9229606802474613</v>
      </c>
      <c r="P23" s="357">
        <v>6.3</v>
      </c>
      <c r="Q23" s="180">
        <f t="shared" si="25"/>
        <v>3.843</v>
      </c>
      <c r="R23" s="180">
        <f t="shared" si="4"/>
        <v>5</v>
      </c>
      <c r="S23" s="186"/>
      <c r="T23" s="51">
        <f t="shared" si="5"/>
        <v>0.9</v>
      </c>
      <c r="U23" s="51">
        <f t="shared" si="6"/>
        <v>2.5778751203737906</v>
      </c>
      <c r="V23" s="372">
        <f t="shared" si="7"/>
        <v>0.245</v>
      </c>
      <c r="W23" s="187">
        <f t="shared" si="22"/>
        <v>2.5783100779544177</v>
      </c>
      <c r="X23" s="187">
        <f t="shared" si="23"/>
        <v>1.9816891259580052</v>
      </c>
      <c r="Y23" s="187">
        <f t="shared" si="8"/>
        <v>2.5783100779544177</v>
      </c>
      <c r="Z23" s="90">
        <v>0.0666666666666667</v>
      </c>
      <c r="AA23" s="91">
        <f t="shared" si="24"/>
        <v>0.38791638590119176</v>
      </c>
      <c r="AB23" s="209"/>
      <c r="AC23" s="211">
        <f t="shared" si="9"/>
        <v>3.1201886037669135</v>
      </c>
      <c r="AD23" s="210">
        <f t="shared" si="10"/>
        <v>15.600943018834567</v>
      </c>
      <c r="AE23" s="232">
        <f t="shared" si="27"/>
        <v>15.600943018834567</v>
      </c>
      <c r="AF23" s="213">
        <f t="shared" si="11"/>
        <v>1627.903221373512</v>
      </c>
      <c r="AG23" s="214">
        <v>2</v>
      </c>
      <c r="AH23" s="237">
        <f t="shared" si="12"/>
        <v>0.09</v>
      </c>
      <c r="AI23" s="215">
        <f t="shared" si="13"/>
        <v>1.9980362113078227</v>
      </c>
      <c r="AJ23" s="215">
        <f t="shared" si="14"/>
        <v>2.0019676527463908</v>
      </c>
      <c r="AK23" s="215">
        <f t="shared" si="26"/>
        <v>0.003931441438568051</v>
      </c>
      <c r="AL23" s="216">
        <f t="shared" si="15"/>
        <v>98.28594101865777</v>
      </c>
      <c r="AM23" s="216">
        <f t="shared" si="16"/>
        <v>4683.840749414519</v>
      </c>
      <c r="AN23" s="216">
        <f t="shared" si="17"/>
        <v>1153.7764081484768</v>
      </c>
      <c r="AO23" s="213">
        <f t="shared" si="18"/>
        <v>16.45377312440698</v>
      </c>
      <c r="AP23" s="213">
        <f t="shared" si="19"/>
        <v>9.72</v>
      </c>
      <c r="AQ23" s="213">
        <f t="shared" si="20"/>
        <v>0.9984000000000003</v>
      </c>
      <c r="AR23" s="368">
        <f t="shared" si="30"/>
        <v>25</v>
      </c>
      <c r="AS23" s="33">
        <f t="shared" si="21"/>
        <v>63.492063492063494</v>
      </c>
    </row>
    <row r="24" spans="1:45" ht="12.75">
      <c r="A24" s="24">
        <v>24</v>
      </c>
      <c r="B24" s="36" t="s">
        <v>274</v>
      </c>
      <c r="C24" s="178" t="s">
        <v>275</v>
      </c>
      <c r="D24" s="269"/>
      <c r="E24" s="33">
        <v>13</v>
      </c>
      <c r="F24" s="33">
        <v>17.3</v>
      </c>
      <c r="G24" s="119">
        <f t="shared" si="0"/>
        <v>1.330769230769231</v>
      </c>
      <c r="H24" s="35">
        <f t="shared" si="28"/>
        <v>21.640009242142206</v>
      </c>
      <c r="I24" s="141">
        <f>F24/K24*1000</f>
        <v>3.337191358024692</v>
      </c>
      <c r="J24" s="38">
        <f t="shared" si="1"/>
        <v>20194227.052023113</v>
      </c>
      <c r="K24" s="87">
        <v>5184</v>
      </c>
      <c r="L24" s="271"/>
      <c r="M24" s="41">
        <v>400</v>
      </c>
      <c r="N24" s="42">
        <f t="shared" si="2"/>
        <v>799.7522518855411</v>
      </c>
      <c r="O24" s="188">
        <f t="shared" si="3"/>
        <v>1.9993806297138528</v>
      </c>
      <c r="P24" s="357">
        <v>6.3</v>
      </c>
      <c r="Q24" s="180">
        <f t="shared" si="25"/>
        <v>3.843</v>
      </c>
      <c r="R24" s="180">
        <f t="shared" si="4"/>
        <v>3.843</v>
      </c>
      <c r="S24" s="186"/>
      <c r="T24" s="51">
        <f t="shared" si="5"/>
        <v>0.865</v>
      </c>
      <c r="U24" s="51">
        <f t="shared" si="6"/>
        <v>2.477656294512591</v>
      </c>
      <c r="V24" s="372">
        <f t="shared" si="7"/>
        <v>0.18830699999999997</v>
      </c>
      <c r="W24" s="187">
        <f t="shared" si="22"/>
        <v>1.7208628221411912</v>
      </c>
      <c r="X24" s="187">
        <f t="shared" si="23"/>
        <v>1.9816891259580052</v>
      </c>
      <c r="Y24" s="187">
        <f t="shared" si="8"/>
        <v>1.9816891259580052</v>
      </c>
      <c r="Z24" s="90">
        <v>0.0666666666666667</v>
      </c>
      <c r="AA24" s="91">
        <f t="shared" si="24"/>
        <v>0.5811944147334931</v>
      </c>
      <c r="AB24" s="209"/>
      <c r="AC24" s="211">
        <f t="shared" si="9"/>
        <v>4.496190091132929</v>
      </c>
      <c r="AD24" s="210">
        <f t="shared" si="10"/>
        <v>15.004646716165063</v>
      </c>
      <c r="AE24" s="232">
        <f t="shared" si="27"/>
        <v>15.004646716165064</v>
      </c>
      <c r="AF24" s="213">
        <f t="shared" si="11"/>
        <v>1692.5973584879177</v>
      </c>
      <c r="AG24" s="214">
        <v>2</v>
      </c>
      <c r="AH24" s="237">
        <f t="shared" si="12"/>
        <v>0.08650000000000001</v>
      </c>
      <c r="AI24" s="215">
        <f t="shared" si="13"/>
        <v>1.9981111999827128</v>
      </c>
      <c r="AJ24" s="215">
        <f t="shared" si="14"/>
        <v>2.001892374333962</v>
      </c>
      <c r="AK24" s="215">
        <f t="shared" si="26"/>
        <v>0.003781174351249028</v>
      </c>
      <c r="AL24" s="216">
        <f t="shared" si="15"/>
        <v>94.52927431183988</v>
      </c>
      <c r="AM24" s="216">
        <f t="shared" si="16"/>
        <v>4501.691386937288</v>
      </c>
      <c r="AN24" s="216">
        <f t="shared" si="17"/>
        <v>1152.9761631349886</v>
      </c>
      <c r="AO24" s="213">
        <f t="shared" si="18"/>
        <v>15.22820401514045</v>
      </c>
      <c r="AP24" s="213">
        <f t="shared" si="19"/>
        <v>15.22820401514045</v>
      </c>
      <c r="AQ24" s="213">
        <f t="shared" si="20"/>
        <v>0.9989365564073549</v>
      </c>
      <c r="AR24" s="368">
        <f t="shared" si="30"/>
        <v>19.215000000000003</v>
      </c>
      <c r="AS24" s="33">
        <f t="shared" si="21"/>
        <v>63.492063492063494</v>
      </c>
    </row>
    <row r="25" spans="1:45" ht="12.75">
      <c r="A25" s="24">
        <v>25</v>
      </c>
      <c r="B25" s="178" t="s">
        <v>341</v>
      </c>
      <c r="C25" s="178" t="s">
        <v>342</v>
      </c>
      <c r="D25" s="269"/>
      <c r="E25" s="33">
        <f>16.8/SQRT(2)</f>
        <v>11.879393923933998</v>
      </c>
      <c r="F25" s="33">
        <f>16.8/SQRT(2)</f>
        <v>11.879393923933998</v>
      </c>
      <c r="G25" s="119">
        <f t="shared" si="0"/>
        <v>1</v>
      </c>
      <c r="H25" s="35">
        <f t="shared" si="28"/>
        <v>16.8</v>
      </c>
      <c r="I25" s="140">
        <v>2.74</v>
      </c>
      <c r="J25" s="38">
        <f t="shared" si="1"/>
        <v>18796952.421546165</v>
      </c>
      <c r="K25" s="38">
        <f>F25/I25*1000</f>
        <v>4335.545227713138</v>
      </c>
      <c r="L25" s="271"/>
      <c r="M25" s="41">
        <v>8</v>
      </c>
      <c r="N25" s="42">
        <f t="shared" si="2"/>
        <v>20.60315014550851</v>
      </c>
      <c r="O25" s="188">
        <f t="shared" si="3"/>
        <v>2.575393768188564</v>
      </c>
      <c r="P25" s="357">
        <v>2.8</v>
      </c>
      <c r="Q25" s="180">
        <f t="shared" si="25"/>
        <v>1.708</v>
      </c>
      <c r="R25" s="180">
        <f t="shared" si="4"/>
        <v>2.74</v>
      </c>
      <c r="S25" s="186"/>
      <c r="T25" s="51">
        <f>T$5*F25/M25</f>
        <v>29.698484809834994</v>
      </c>
      <c r="U25" s="51">
        <f>2*ATAN(F25/2/M25)*180/PI()</f>
        <v>73.1849746378272</v>
      </c>
      <c r="V25" s="372">
        <f t="shared" si="7"/>
        <v>6.84726</v>
      </c>
      <c r="W25" s="187">
        <f t="shared" si="22"/>
        <v>70.64569337723681</v>
      </c>
      <c r="X25" s="187">
        <f t="shared" si="23"/>
        <v>44.037535464645096</v>
      </c>
      <c r="Y25" s="187">
        <f t="shared" si="8"/>
        <v>70.64569337723681</v>
      </c>
      <c r="Z25" s="90">
        <v>0.0666666666666667</v>
      </c>
      <c r="AA25" s="91">
        <f t="shared" si="24"/>
        <v>0.016455811111079188</v>
      </c>
      <c r="AB25" s="209"/>
      <c r="AC25" s="211">
        <f>AE25/I25</f>
        <v>4.2513518688794925</v>
      </c>
      <c r="AD25" s="210">
        <f>AC25*I25</f>
        <v>11.64870412072981</v>
      </c>
      <c r="AE25" s="232">
        <f t="shared" si="27"/>
        <v>11.64870412072981</v>
      </c>
      <c r="AF25" s="213">
        <f t="shared" si="11"/>
        <v>1.9622047757627155</v>
      </c>
      <c r="AG25" s="214">
        <v>2</v>
      </c>
      <c r="AH25" s="237">
        <f>F25*AG25/M25</f>
        <v>2.9698484809834995</v>
      </c>
      <c r="AI25" s="215">
        <f>(AF25*AG25)/(AF25+AG25-M25/1000)</f>
        <v>0.9924649263437457</v>
      </c>
      <c r="AJ25" s="215" t="str">
        <f>IF(AF25*AG25/(AF25-AG25+M25/1000)&lt;0,"infini",AF25*AG25/(AF25-AG25+M25/1000))</f>
        <v>infini</v>
      </c>
      <c r="AK25" s="215" t="e">
        <f>AJ25-AI25</f>
        <v>#VALUE!</v>
      </c>
      <c r="AL25" s="216">
        <f>P25*AD25</f>
        <v>32.61637153804347</v>
      </c>
      <c r="AM25" s="216">
        <f>F25/Q25*1000</f>
        <v>6955.148667408664</v>
      </c>
      <c r="AN25" s="216">
        <f>F25/AD25*1000</f>
        <v>1019.8039027185571</v>
      </c>
      <c r="AO25" s="213">
        <f>E25*F25/Q25^2</f>
        <v>48.37409298575652</v>
      </c>
      <c r="AP25" s="213">
        <f>E25*F25/R25^2</f>
        <v>18.796952421546166</v>
      </c>
      <c r="AQ25" s="213">
        <f>E25*F25/AD25^2</f>
        <v>1.04</v>
      </c>
      <c r="AR25" s="368">
        <f>AH25*1000/(F25/R25)</f>
        <v>685</v>
      </c>
      <c r="AS25" s="33">
        <f t="shared" si="21"/>
        <v>2.857142857142857</v>
      </c>
    </row>
    <row r="26" spans="1:45" ht="12.75">
      <c r="A26" s="24">
        <v>26</v>
      </c>
      <c r="B26" s="400" t="s">
        <v>280</v>
      </c>
      <c r="C26" s="400" t="s">
        <v>287</v>
      </c>
      <c r="D26" s="269"/>
      <c r="E26" s="180">
        <v>8.8</v>
      </c>
      <c r="F26" s="180">
        <v>13.2</v>
      </c>
      <c r="G26" s="181">
        <f t="shared" si="0"/>
        <v>1.4999999999999998</v>
      </c>
      <c r="H26" s="182">
        <f t="shared" si="28"/>
        <v>15.864425612041552</v>
      </c>
      <c r="I26" s="141">
        <f>F26/K26*1000</f>
        <v>2.4122807017543857</v>
      </c>
      <c r="J26" s="38">
        <f t="shared" si="1"/>
        <v>19961856.000000004</v>
      </c>
      <c r="K26" s="87">
        <v>5472</v>
      </c>
      <c r="L26" s="271"/>
      <c r="M26" s="41">
        <v>220</v>
      </c>
      <c r="N26" s="42">
        <f t="shared" si="2"/>
        <v>600</v>
      </c>
      <c r="O26" s="188">
        <f t="shared" si="3"/>
        <v>2.727272727272727</v>
      </c>
      <c r="P26" s="357">
        <v>4</v>
      </c>
      <c r="Q26" s="180">
        <f t="shared" si="25"/>
        <v>2.44</v>
      </c>
      <c r="R26" s="180">
        <f t="shared" si="4"/>
        <v>2.44</v>
      </c>
      <c r="S26" s="186"/>
      <c r="T26" s="51">
        <f t="shared" si="5"/>
        <v>1.2</v>
      </c>
      <c r="U26" s="51">
        <f t="shared" si="6"/>
        <v>3.4367160033109143</v>
      </c>
      <c r="V26" s="372">
        <f t="shared" si="7"/>
        <v>0.2193781818181818</v>
      </c>
      <c r="W26" s="187">
        <f t="shared" si="22"/>
        <v>2.261675507004715</v>
      </c>
      <c r="X26" s="187">
        <f t="shared" si="23"/>
        <v>2.287664214646722</v>
      </c>
      <c r="Y26" s="187">
        <f t="shared" si="8"/>
        <v>2.287664214646722</v>
      </c>
      <c r="Z26" s="90">
        <v>0.0666666666666667</v>
      </c>
      <c r="AA26" s="91">
        <f t="shared" si="24"/>
        <v>0.4422826903752421</v>
      </c>
      <c r="AB26" s="209"/>
      <c r="AC26" s="211">
        <f t="shared" si="9"/>
        <v>4.5600000000000005</v>
      </c>
      <c r="AD26" s="210">
        <f t="shared" si="10"/>
        <v>11</v>
      </c>
      <c r="AE26" s="232">
        <f t="shared" si="27"/>
        <v>11</v>
      </c>
      <c r="AF26" s="213">
        <f t="shared" si="11"/>
        <v>1100</v>
      </c>
      <c r="AG26" s="214">
        <v>10</v>
      </c>
      <c r="AH26" s="237">
        <f t="shared" si="12"/>
        <v>0.6</v>
      </c>
      <c r="AI26" s="215">
        <f t="shared" si="13"/>
        <v>9.911874425561823</v>
      </c>
      <c r="AJ26" s="215">
        <f t="shared" si="14"/>
        <v>10.089706664709874</v>
      </c>
      <c r="AK26" s="215">
        <f t="shared" si="26"/>
        <v>0.17783223914805113</v>
      </c>
      <c r="AL26" s="216">
        <f t="shared" si="15"/>
        <v>44</v>
      </c>
      <c r="AM26" s="216">
        <f t="shared" si="16"/>
        <v>5409.836065573771</v>
      </c>
      <c r="AN26" s="216">
        <f t="shared" si="17"/>
        <v>1200</v>
      </c>
      <c r="AO26" s="213">
        <f t="shared" si="18"/>
        <v>19.510884170921795</v>
      </c>
      <c r="AP26" s="213">
        <f t="shared" si="19"/>
        <v>19.510884170921795</v>
      </c>
      <c r="AQ26" s="213">
        <f t="shared" si="20"/>
        <v>0.96</v>
      </c>
      <c r="AR26" s="368">
        <f t="shared" si="30"/>
        <v>110.9090909090909</v>
      </c>
      <c r="AS26" s="33">
        <f t="shared" si="21"/>
        <v>55</v>
      </c>
    </row>
    <row r="27" spans="1:45" ht="12.75">
      <c r="A27" s="24">
        <v>27</v>
      </c>
      <c r="B27" s="178" t="s">
        <v>280</v>
      </c>
      <c r="C27" s="178" t="s">
        <v>281</v>
      </c>
      <c r="D27" s="269"/>
      <c r="E27" s="33">
        <v>8.8</v>
      </c>
      <c r="F27" s="33">
        <v>13.2</v>
      </c>
      <c r="G27" s="119">
        <f t="shared" si="0"/>
        <v>1.4999999999999998</v>
      </c>
      <c r="H27" s="35">
        <f t="shared" si="28"/>
        <v>15.864425612041552</v>
      </c>
      <c r="I27" s="140">
        <v>2.36</v>
      </c>
      <c r="J27" s="38">
        <f t="shared" si="1"/>
        <v>20856075.840275787</v>
      </c>
      <c r="K27" s="38">
        <f>F27/I27*1000</f>
        <v>5593.220338983051</v>
      </c>
      <c r="L27" s="220"/>
      <c r="M27" s="41">
        <v>176</v>
      </c>
      <c r="N27" s="42">
        <f t="shared" si="2"/>
        <v>480.00000000000006</v>
      </c>
      <c r="O27" s="188">
        <f t="shared" si="3"/>
        <v>2.7272727272727275</v>
      </c>
      <c r="P27" s="357">
        <v>4.5</v>
      </c>
      <c r="Q27" s="180">
        <f t="shared" si="25"/>
        <v>2.745</v>
      </c>
      <c r="R27" s="180">
        <f t="shared" si="4"/>
        <v>2.745</v>
      </c>
      <c r="S27" s="186"/>
      <c r="T27" s="51">
        <f t="shared" si="5"/>
        <v>1.5</v>
      </c>
      <c r="U27" s="51">
        <f t="shared" si="6"/>
        <v>4.295170856597006</v>
      </c>
      <c r="V27" s="372">
        <f t="shared" si="7"/>
        <v>0.3091868181818182</v>
      </c>
      <c r="W27" s="187">
        <f t="shared" si="22"/>
        <v>2.765823538147569</v>
      </c>
      <c r="X27" s="187">
        <f t="shared" si="23"/>
        <v>3.2170278017180096</v>
      </c>
      <c r="Y27" s="187">
        <f t="shared" si="8"/>
        <v>3.2170278017180096</v>
      </c>
      <c r="Z27" s="90">
        <v>0.0666666666666667</v>
      </c>
      <c r="AA27" s="91">
        <f t="shared" si="24"/>
        <v>0.3617253814240886</v>
      </c>
      <c r="AB27" s="209"/>
      <c r="AC27" s="211">
        <f t="shared" si="9"/>
        <v>4.6610169491525415</v>
      </c>
      <c r="AD27" s="210">
        <f t="shared" si="10"/>
        <v>10.999999999999998</v>
      </c>
      <c r="AE27" s="232">
        <f t="shared" si="27"/>
        <v>10.999999999999998</v>
      </c>
      <c r="AF27" s="213">
        <f t="shared" si="11"/>
        <v>625.7777777777779</v>
      </c>
      <c r="AG27" s="214">
        <v>2</v>
      </c>
      <c r="AH27" s="237">
        <f t="shared" si="12"/>
        <v>0.15</v>
      </c>
      <c r="AI27" s="215">
        <f t="shared" si="13"/>
        <v>1.9941873969622634</v>
      </c>
      <c r="AJ27" s="215">
        <f t="shared" si="14"/>
        <v>2.005846586926667</v>
      </c>
      <c r="AK27" s="215">
        <f t="shared" si="26"/>
        <v>0.011659189964403405</v>
      </c>
      <c r="AL27" s="216">
        <f t="shared" si="15"/>
        <v>49.49999999999999</v>
      </c>
      <c r="AM27" s="216">
        <f t="shared" si="16"/>
        <v>4808.7431693989065</v>
      </c>
      <c r="AN27" s="216">
        <f t="shared" si="17"/>
        <v>1200.0000000000002</v>
      </c>
      <c r="AO27" s="213">
        <f t="shared" si="18"/>
        <v>15.416007246160428</v>
      </c>
      <c r="AP27" s="213">
        <f t="shared" si="19"/>
        <v>15.416007246160428</v>
      </c>
      <c r="AQ27" s="213">
        <f t="shared" si="20"/>
        <v>0.9600000000000003</v>
      </c>
      <c r="AR27" s="368">
        <f t="shared" si="30"/>
        <v>31.193181818181824</v>
      </c>
      <c r="AS27" s="33">
        <f t="shared" si="21"/>
        <v>39.111111111111114</v>
      </c>
    </row>
    <row r="28" spans="1:45" ht="12.75">
      <c r="A28" s="24">
        <v>28</v>
      </c>
      <c r="B28" s="24" t="s">
        <v>69</v>
      </c>
      <c r="C28" s="24"/>
      <c r="D28" s="183"/>
      <c r="E28" s="33">
        <v>6.6</v>
      </c>
      <c r="F28" s="35">
        <v>8.8</v>
      </c>
      <c r="G28" s="119">
        <f t="shared" si="0"/>
        <v>1.3333333333333335</v>
      </c>
      <c r="H28" s="35">
        <f t="shared" si="28"/>
        <v>11</v>
      </c>
      <c r="I28" s="140">
        <v>2.3</v>
      </c>
      <c r="J28" s="38">
        <f t="shared" si="1"/>
        <v>10979206.04914934</v>
      </c>
      <c r="K28" s="38">
        <f>F28/I28*1000</f>
        <v>3826.0869565217395</v>
      </c>
      <c r="L28" s="220"/>
      <c r="M28" s="41">
        <v>12.71</v>
      </c>
      <c r="N28" s="42">
        <f t="shared" si="2"/>
        <v>49.99260732125162</v>
      </c>
      <c r="O28" s="188">
        <f t="shared" si="3"/>
        <v>3.9333286641425347</v>
      </c>
      <c r="P28" s="357">
        <v>2.8</v>
      </c>
      <c r="Q28" s="180">
        <f t="shared" si="25"/>
        <v>1.708</v>
      </c>
      <c r="R28" s="180">
        <f t="shared" si="4"/>
        <v>2.3</v>
      </c>
      <c r="S28" s="186"/>
      <c r="T28" s="51">
        <f t="shared" si="5"/>
        <v>13.847364280094412</v>
      </c>
      <c r="U28" s="51">
        <f t="shared" si="6"/>
        <v>38.190080567987344</v>
      </c>
      <c r="V28" s="372">
        <f t="shared" si="7"/>
        <v>3.616897482297403</v>
      </c>
      <c r="W28" s="187">
        <f t="shared" si="22"/>
        <v>37.32565296537477</v>
      </c>
      <c r="X28" s="187">
        <f t="shared" si="23"/>
        <v>27.718354598690368</v>
      </c>
      <c r="Y28" s="187">
        <f t="shared" si="8"/>
        <v>37.32565296537477</v>
      </c>
      <c r="Z28" s="90">
        <v>0.0666666666666667</v>
      </c>
      <c r="AA28" s="91">
        <f t="shared" si="24"/>
        <v>0.027829266567665715</v>
      </c>
      <c r="AB28" s="209"/>
      <c r="AC28" s="211">
        <f t="shared" si="9"/>
        <v>3.3161424774334343</v>
      </c>
      <c r="AD28" s="210">
        <f t="shared" si="10"/>
        <v>7.627127698096898</v>
      </c>
      <c r="AE28" s="232">
        <f t="shared" si="27"/>
        <v>7.627127698096898</v>
      </c>
      <c r="AF28" s="213">
        <f t="shared" si="11"/>
        <v>7.564357607775097</v>
      </c>
      <c r="AG28" s="214">
        <v>2</v>
      </c>
      <c r="AH28" s="237">
        <f t="shared" si="12"/>
        <v>1.3847364280094414</v>
      </c>
      <c r="AI28" s="215">
        <f t="shared" si="13"/>
        <v>1.5838854024760431</v>
      </c>
      <c r="AJ28" s="215">
        <f t="shared" si="14"/>
        <v>2.7126648410105267</v>
      </c>
      <c r="AK28" s="215">
        <f t="shared" si="26"/>
        <v>1.1287794385344836</v>
      </c>
      <c r="AL28" s="216">
        <f t="shared" si="15"/>
        <v>21.355957554671313</v>
      </c>
      <c r="AM28" s="216">
        <f t="shared" si="16"/>
        <v>5152.2248243559725</v>
      </c>
      <c r="AN28" s="216">
        <f t="shared" si="17"/>
        <v>1153.776408148477</v>
      </c>
      <c r="AO28" s="213">
        <f t="shared" si="18"/>
        <v>19.909065480532444</v>
      </c>
      <c r="AP28" s="213">
        <f t="shared" si="19"/>
        <v>10.97920604914934</v>
      </c>
      <c r="AQ28" s="213">
        <f t="shared" si="20"/>
        <v>0.9984000000000005</v>
      </c>
      <c r="AR28" s="368">
        <f t="shared" si="30"/>
        <v>361.9197482297403</v>
      </c>
      <c r="AS28" s="33">
        <f t="shared" si="21"/>
        <v>4.539285714285715</v>
      </c>
    </row>
    <row r="29" spans="1:45" ht="12.75">
      <c r="A29" s="24">
        <v>29</v>
      </c>
      <c r="B29" s="24" t="s">
        <v>70</v>
      </c>
      <c r="C29" s="24" t="s">
        <v>145</v>
      </c>
      <c r="D29" s="183"/>
      <c r="E29" s="33">
        <v>5.4</v>
      </c>
      <c r="F29" s="33">
        <v>7.2</v>
      </c>
      <c r="G29" s="119">
        <f t="shared" si="0"/>
        <v>1.3333333333333333</v>
      </c>
      <c r="H29" s="35">
        <f t="shared" si="28"/>
        <v>9</v>
      </c>
      <c r="I29" s="140">
        <v>3.5</v>
      </c>
      <c r="J29" s="38">
        <f t="shared" si="1"/>
        <v>3173877.5510204085</v>
      </c>
      <c r="K29" s="38">
        <f>F29/I29*1000</f>
        <v>2057.1428571428573</v>
      </c>
      <c r="L29" s="220"/>
      <c r="M29" s="41">
        <v>8</v>
      </c>
      <c r="N29" s="42">
        <f t="shared" si="2"/>
        <v>38.45921360494922</v>
      </c>
      <c r="O29" s="188">
        <f t="shared" si="3"/>
        <v>4.8074017006186525</v>
      </c>
      <c r="P29" s="357">
        <v>2.5</v>
      </c>
      <c r="Q29" s="180">
        <f t="shared" si="25"/>
        <v>1.525</v>
      </c>
      <c r="R29" s="180">
        <f t="shared" si="4"/>
        <v>3.5</v>
      </c>
      <c r="S29" s="186"/>
      <c r="T29" s="51">
        <f t="shared" si="5"/>
        <v>18</v>
      </c>
      <c r="U29" s="51">
        <f t="shared" si="6"/>
        <v>48.45549063590834</v>
      </c>
      <c r="V29" s="372">
        <f t="shared" si="7"/>
        <v>8.7465</v>
      </c>
      <c r="W29" s="187">
        <f t="shared" si="22"/>
        <v>90.24084697555092</v>
      </c>
      <c r="X29" s="187">
        <f t="shared" si="23"/>
        <v>39.31922821459348</v>
      </c>
      <c r="Y29" s="187">
        <f t="shared" si="8"/>
        <v>90.24084697555092</v>
      </c>
      <c r="Z29" s="90">
        <v>0.0666666666666667</v>
      </c>
      <c r="AA29" s="91">
        <f t="shared" si="24"/>
        <v>0.011792854925817423</v>
      </c>
      <c r="AB29" s="209"/>
      <c r="AC29" s="211">
        <f t="shared" si="9"/>
        <v>1.7829649164382366</v>
      </c>
      <c r="AD29" s="210">
        <f t="shared" si="10"/>
        <v>6.240377207533828</v>
      </c>
      <c r="AE29" s="232">
        <f t="shared" si="27"/>
        <v>6.240377207533828</v>
      </c>
      <c r="AF29" s="213">
        <f t="shared" si="11"/>
        <v>4.10231611786125</v>
      </c>
      <c r="AG29" s="214">
        <v>2</v>
      </c>
      <c r="AH29" s="237">
        <f t="shared" si="12"/>
        <v>1.8</v>
      </c>
      <c r="AI29" s="215">
        <f t="shared" si="13"/>
        <v>1.34627611647455</v>
      </c>
      <c r="AJ29" s="215">
        <f t="shared" si="14"/>
        <v>3.8878688203536442</v>
      </c>
      <c r="AK29" s="215">
        <f t="shared" si="26"/>
        <v>2.541592703879094</v>
      </c>
      <c r="AL29" s="216">
        <f t="shared" si="15"/>
        <v>15.60094301883457</v>
      </c>
      <c r="AM29" s="216">
        <f t="shared" si="16"/>
        <v>4721.311475409837</v>
      </c>
      <c r="AN29" s="216">
        <f t="shared" si="17"/>
        <v>1153.7764081484765</v>
      </c>
      <c r="AO29" s="213">
        <f t="shared" si="18"/>
        <v>16.718086535877458</v>
      </c>
      <c r="AP29" s="213">
        <f t="shared" si="19"/>
        <v>3.1738775510204085</v>
      </c>
      <c r="AQ29" s="213">
        <f t="shared" si="20"/>
        <v>0.9984000000000001</v>
      </c>
      <c r="AR29" s="368">
        <f t="shared" si="30"/>
        <v>874.9999999999999</v>
      </c>
      <c r="AS29" s="33">
        <f t="shared" si="21"/>
        <v>3.2</v>
      </c>
    </row>
    <row r="30" spans="1:45" ht="12.75">
      <c r="A30" s="24">
        <v>30</v>
      </c>
      <c r="B30" s="34" t="s">
        <v>77</v>
      </c>
      <c r="C30" s="24" t="s">
        <v>272</v>
      </c>
      <c r="D30" s="183"/>
      <c r="E30" s="33">
        <v>4.55</v>
      </c>
      <c r="F30" s="33">
        <v>6.17</v>
      </c>
      <c r="G30" s="119">
        <f t="shared" si="0"/>
        <v>1.3560439560439561</v>
      </c>
      <c r="H30" s="35">
        <f t="shared" si="28"/>
        <v>7.6662507133539535</v>
      </c>
      <c r="I30" s="141">
        <f>F30/K30*1000</f>
        <v>1.3389756944444444</v>
      </c>
      <c r="J30" s="38">
        <f t="shared" si="1"/>
        <v>15658536.661264181</v>
      </c>
      <c r="K30" s="87">
        <v>4608</v>
      </c>
      <c r="L30" s="271"/>
      <c r="M30" s="41">
        <v>357</v>
      </c>
      <c r="N30" s="42">
        <f t="shared" si="2"/>
        <v>2014.8286615753125</v>
      </c>
      <c r="O30" s="188">
        <f t="shared" si="3"/>
        <v>5.643777763516281</v>
      </c>
      <c r="P30" s="357">
        <v>6.5</v>
      </c>
      <c r="Q30" s="180">
        <f t="shared" si="25"/>
        <v>3.965</v>
      </c>
      <c r="R30" s="180">
        <f t="shared" si="4"/>
        <v>3.965</v>
      </c>
      <c r="S30" s="186"/>
      <c r="T30" s="51">
        <f t="shared" si="5"/>
        <v>0.3456582633053221</v>
      </c>
      <c r="U30" s="51">
        <f t="shared" si="6"/>
        <v>0.9902133345666838</v>
      </c>
      <c r="V30" s="372">
        <f t="shared" si="7"/>
        <v>0.21816385154061624</v>
      </c>
      <c r="W30" s="187">
        <f t="shared" si="22"/>
        <v>0.7736234234813995</v>
      </c>
      <c r="X30" s="187">
        <f t="shared" si="23"/>
        <v>2.290868226151567</v>
      </c>
      <c r="Y30" s="187">
        <f t="shared" si="8"/>
        <v>2.290868226151567</v>
      </c>
      <c r="Z30" s="90">
        <v>0.0666666666666667</v>
      </c>
      <c r="AA30" s="91">
        <f t="shared" si="24"/>
        <v>1.2926507403176175</v>
      </c>
      <c r="AB30" s="209"/>
      <c r="AC30" s="211">
        <f t="shared" si="9"/>
        <v>3.969891679749307</v>
      </c>
      <c r="AD30" s="210">
        <f t="shared" si="10"/>
        <v>5.3155884687615504</v>
      </c>
      <c r="AE30" s="232">
        <f t="shared" si="27"/>
        <v>5.3155884687615504</v>
      </c>
      <c r="AF30" s="213">
        <f t="shared" si="11"/>
        <v>3688.686318884034</v>
      </c>
      <c r="AG30" s="214">
        <v>2</v>
      </c>
      <c r="AH30" s="237">
        <f t="shared" si="12"/>
        <v>0.034565826330532214</v>
      </c>
      <c r="AI30" s="215">
        <f t="shared" si="13"/>
        <v>1.999109564562928</v>
      </c>
      <c r="AJ30" s="215">
        <f t="shared" si="14"/>
        <v>2.000891229018973</v>
      </c>
      <c r="AK30" s="215">
        <f t="shared" si="26"/>
        <v>0.0017816644560448847</v>
      </c>
      <c r="AL30" s="216">
        <f t="shared" si="15"/>
        <v>34.551325046950076</v>
      </c>
      <c r="AM30" s="216">
        <f t="shared" si="16"/>
        <v>1556.1160151324086</v>
      </c>
      <c r="AN30" s="216">
        <f t="shared" si="17"/>
        <v>1160.7369600298484</v>
      </c>
      <c r="AO30" s="213">
        <f t="shared" si="18"/>
        <v>1.7857069026109607</v>
      </c>
      <c r="AP30" s="213">
        <f t="shared" si="19"/>
        <v>1.7857069026109607</v>
      </c>
      <c r="AQ30" s="213">
        <f t="shared" si="20"/>
        <v>0.9935594523867052</v>
      </c>
      <c r="AR30" s="368">
        <f t="shared" si="30"/>
        <v>22.21288515406162</v>
      </c>
      <c r="AS30" s="33">
        <f t="shared" si="21"/>
        <v>54.92307692307692</v>
      </c>
    </row>
    <row r="31" spans="1:45" ht="12.75">
      <c r="A31" s="24">
        <v>31</v>
      </c>
      <c r="B31" s="34" t="s">
        <v>77</v>
      </c>
      <c r="C31" s="24" t="s">
        <v>278</v>
      </c>
      <c r="D31" s="183"/>
      <c r="E31" s="33">
        <v>4.55</v>
      </c>
      <c r="F31" s="33">
        <v>6.17</v>
      </c>
      <c r="G31" s="119">
        <f t="shared" si="0"/>
        <v>1.3560439560439561</v>
      </c>
      <c r="H31" s="35">
        <f t="shared" si="28"/>
        <v>7.6662507133539535</v>
      </c>
      <c r="I31" s="140">
        <v>1.48</v>
      </c>
      <c r="J31" s="38">
        <f t="shared" si="1"/>
        <v>12816608.838568298</v>
      </c>
      <c r="K31" s="38">
        <f>F31/I31*1000</f>
        <v>4168.918918918919</v>
      </c>
      <c r="L31" s="220"/>
      <c r="M31" s="41">
        <v>108</v>
      </c>
      <c r="N31" s="42">
        <f t="shared" si="2"/>
        <v>609.5279984597584</v>
      </c>
      <c r="O31" s="188">
        <f t="shared" si="3"/>
        <v>5.643777763516281</v>
      </c>
      <c r="P31" s="357">
        <v>2.8</v>
      </c>
      <c r="Q31" s="180">
        <f t="shared" si="25"/>
        <v>1.708</v>
      </c>
      <c r="R31" s="180">
        <f t="shared" si="4"/>
        <v>1.708</v>
      </c>
      <c r="S31" s="186"/>
      <c r="T31" s="51">
        <f t="shared" si="5"/>
        <v>1.1425925925925926</v>
      </c>
      <c r="U31" s="51">
        <f t="shared" si="6"/>
        <v>3.2723968205825544</v>
      </c>
      <c r="V31" s="372">
        <f t="shared" si="7"/>
        <v>0.31458829629629625</v>
      </c>
      <c r="W31" s="187">
        <f>ATAN(I31/M31/1000)*180/PI()*3600</f>
        <v>2.826591789135125</v>
      </c>
      <c r="X31" s="187">
        <f>ATAN(Q31/M31/1000)*180/PI()*3600</f>
        <v>3.2620397133395325</v>
      </c>
      <c r="Y31" s="187">
        <f t="shared" si="8"/>
        <v>3.2620397133395325</v>
      </c>
      <c r="Z31" s="90">
        <v>0.0666666666666667</v>
      </c>
      <c r="AA31" s="91">
        <f t="shared" si="24"/>
        <v>0.353879158465531</v>
      </c>
      <c r="AB31" s="209"/>
      <c r="AC31" s="211">
        <f t="shared" si="9"/>
        <v>3.591613830244291</v>
      </c>
      <c r="AD31" s="210">
        <f t="shared" si="10"/>
        <v>5.3155884687615504</v>
      </c>
      <c r="AE31" s="232">
        <f t="shared" si="27"/>
        <v>5.3155884687615504</v>
      </c>
      <c r="AF31" s="213">
        <f t="shared" si="11"/>
        <v>783.6788551625466</v>
      </c>
      <c r="AG31" s="214">
        <v>2</v>
      </c>
      <c r="AH31" s="237">
        <f t="shared" si="12"/>
        <v>0.11425925925925925</v>
      </c>
      <c r="AI31" s="215">
        <f t="shared" si="13"/>
        <v>1.995183120688436</v>
      </c>
      <c r="AJ31" s="215">
        <f t="shared" si="14"/>
        <v>2.004840193941625</v>
      </c>
      <c r="AK31" s="215">
        <f t="shared" si="26"/>
        <v>0.009657073253189097</v>
      </c>
      <c r="AL31" s="216">
        <f t="shared" si="15"/>
        <v>14.88364771253234</v>
      </c>
      <c r="AM31" s="216">
        <f t="shared" si="16"/>
        <v>3612.412177985949</v>
      </c>
      <c r="AN31" s="216">
        <f t="shared" si="17"/>
        <v>1160.7369600298484</v>
      </c>
      <c r="AO31" s="213">
        <f t="shared" si="18"/>
        <v>9.623229162667485</v>
      </c>
      <c r="AP31" s="213">
        <f t="shared" si="19"/>
        <v>9.623229162667485</v>
      </c>
      <c r="AQ31" s="213">
        <f t="shared" si="20"/>
        <v>0.9935594523867052</v>
      </c>
      <c r="AR31" s="368">
        <f t="shared" si="30"/>
        <v>31.629629629629626</v>
      </c>
      <c r="AS31" s="33">
        <f t="shared" si="21"/>
        <v>38.57142857142858</v>
      </c>
    </row>
    <row r="32" spans="1:45" ht="12.75">
      <c r="A32" s="24">
        <v>32</v>
      </c>
      <c r="B32" s="34" t="s">
        <v>77</v>
      </c>
      <c r="C32" s="24" t="s">
        <v>279</v>
      </c>
      <c r="D32" s="183"/>
      <c r="E32" s="33">
        <v>4.55</v>
      </c>
      <c r="F32" s="33">
        <v>6.17</v>
      </c>
      <c r="G32" s="119">
        <f t="shared" si="0"/>
        <v>1.3560439560439561</v>
      </c>
      <c r="H32" s="35">
        <f t="shared" si="28"/>
        <v>7.6662507133539535</v>
      </c>
      <c r="I32" s="140">
        <v>1.22</v>
      </c>
      <c r="J32" s="38">
        <f t="shared" si="1"/>
        <v>18861529.158828273</v>
      </c>
      <c r="K32" s="38">
        <f>F32/I32*1000</f>
        <v>5057.377049180328</v>
      </c>
      <c r="L32" s="220"/>
      <c r="M32" s="41">
        <v>215</v>
      </c>
      <c r="N32" s="42">
        <f t="shared" si="2"/>
        <v>1213.4122191560007</v>
      </c>
      <c r="O32" s="188">
        <f t="shared" si="3"/>
        <v>5.643777763516282</v>
      </c>
      <c r="P32" s="357">
        <v>5.9</v>
      </c>
      <c r="Q32" s="180">
        <f t="shared" si="25"/>
        <v>3.599</v>
      </c>
      <c r="R32" s="180">
        <f t="shared" si="4"/>
        <v>3.599</v>
      </c>
      <c r="S32" s="186"/>
      <c r="T32" s="51">
        <f t="shared" si="5"/>
        <v>0.573953488372093</v>
      </c>
      <c r="U32" s="51">
        <f t="shared" si="6"/>
        <v>1.64414279517828</v>
      </c>
      <c r="V32" s="372">
        <f t="shared" si="7"/>
        <v>0.3311916976744186</v>
      </c>
      <c r="W32" s="187">
        <f t="shared" si="22"/>
        <v>1.170432854040729</v>
      </c>
      <c r="X32" s="187">
        <f t="shared" si="23"/>
        <v>3.4527769191347057</v>
      </c>
      <c r="Y32" s="187">
        <f t="shared" si="8"/>
        <v>3.4527769191347057</v>
      </c>
      <c r="Z32" s="90">
        <v>0.0666666666666667</v>
      </c>
      <c r="AA32" s="91">
        <f t="shared" si="24"/>
        <v>0.8544433988492567</v>
      </c>
      <c r="AB32" s="209"/>
      <c r="AC32" s="211">
        <f t="shared" si="9"/>
        <v>4.357039728493074</v>
      </c>
      <c r="AD32" s="210">
        <f t="shared" si="10"/>
        <v>5.3155884687615504</v>
      </c>
      <c r="AE32" s="232">
        <f t="shared" si="27"/>
        <v>5.3155884687615504</v>
      </c>
      <c r="AF32" s="213">
        <f t="shared" si="11"/>
        <v>1473.9187972798875</v>
      </c>
      <c r="AG32" s="214">
        <v>2</v>
      </c>
      <c r="AH32" s="237">
        <f t="shared" si="12"/>
        <v>0.0573953488372093</v>
      </c>
      <c r="AI32" s="215">
        <f t="shared" si="13"/>
        <v>1.9975808153326022</v>
      </c>
      <c r="AJ32" s="215">
        <f t="shared" si="14"/>
        <v>2.002425051314355</v>
      </c>
      <c r="AK32" s="215">
        <f t="shared" si="26"/>
        <v>0.004844235981752876</v>
      </c>
      <c r="AL32" s="216">
        <f t="shared" si="15"/>
        <v>31.36197196569315</v>
      </c>
      <c r="AM32" s="216">
        <f t="shared" si="16"/>
        <v>1714.3651014170603</v>
      </c>
      <c r="AN32" s="216">
        <f t="shared" si="17"/>
        <v>1160.7369600298484</v>
      </c>
      <c r="AO32" s="213">
        <f t="shared" si="18"/>
        <v>2.167369050138267</v>
      </c>
      <c r="AP32" s="213">
        <f t="shared" si="19"/>
        <v>2.167369050138267</v>
      </c>
      <c r="AQ32" s="213">
        <f t="shared" si="20"/>
        <v>0.9935594523867052</v>
      </c>
      <c r="AR32" s="368">
        <f t="shared" si="30"/>
        <v>33.47906976744186</v>
      </c>
      <c r="AS32" s="33">
        <f t="shared" si="21"/>
        <v>36.440677966101696</v>
      </c>
    </row>
    <row r="33" spans="1:45" ht="12.75">
      <c r="A33" s="24">
        <v>33</v>
      </c>
      <c r="B33" s="34" t="s">
        <v>77</v>
      </c>
      <c r="C33" s="24" t="s">
        <v>277</v>
      </c>
      <c r="D33" s="183"/>
      <c r="E33" s="33">
        <v>4.55</v>
      </c>
      <c r="F33" s="33">
        <v>6.17</v>
      </c>
      <c r="G33" s="119">
        <f t="shared" si="0"/>
        <v>1.3560439560439561</v>
      </c>
      <c r="H33" s="35">
        <f t="shared" si="28"/>
        <v>7.6662507133539535</v>
      </c>
      <c r="I33" s="140">
        <v>1.16</v>
      </c>
      <c r="J33" s="38">
        <f t="shared" si="1"/>
        <v>20863183.709869206</v>
      </c>
      <c r="K33" s="38">
        <f>F33/I33*1000</f>
        <v>5318.9655172413795</v>
      </c>
      <c r="L33" s="220"/>
      <c r="M33" s="41">
        <v>247</v>
      </c>
      <c r="N33" s="42">
        <f t="shared" si="2"/>
        <v>1394.0131075885217</v>
      </c>
      <c r="O33" s="188">
        <f t="shared" si="3"/>
        <v>5.643777763516282</v>
      </c>
      <c r="P33" s="357">
        <v>6.5</v>
      </c>
      <c r="Q33" s="180">
        <f t="shared" si="25"/>
        <v>3.965</v>
      </c>
      <c r="R33" s="180">
        <f t="shared" si="4"/>
        <v>3.965</v>
      </c>
      <c r="S33" s="186"/>
      <c r="T33" s="51">
        <f t="shared" si="5"/>
        <v>0.49959514170040487</v>
      </c>
      <c r="U33" s="51">
        <f t="shared" si="6"/>
        <v>1.4311602383964672</v>
      </c>
      <c r="V33" s="372">
        <f t="shared" si="7"/>
        <v>0.31708763157894737</v>
      </c>
      <c r="W33" s="187">
        <f t="shared" si="22"/>
        <v>0.9686930171857192</v>
      </c>
      <c r="X33" s="187">
        <f t="shared" si="23"/>
        <v>3.3110929421031905</v>
      </c>
      <c r="Y33" s="187">
        <f aca="true" t="shared" si="31" ref="Y33:Y41">ATAN(R33/M33/1000)*180/PI()*3600</f>
        <v>3.3110929421031905</v>
      </c>
      <c r="Z33" s="90">
        <v>0.0666666666666667</v>
      </c>
      <c r="AA33" s="91">
        <f t="shared" si="24"/>
        <v>1.032372463834925</v>
      </c>
      <c r="AB33" s="209"/>
      <c r="AC33" s="211">
        <f t="shared" si="9"/>
        <v>4.582403852380647</v>
      </c>
      <c r="AD33" s="210">
        <f t="shared" si="10"/>
        <v>5.3155884687615504</v>
      </c>
      <c r="AE33" s="232">
        <f t="shared" si="27"/>
        <v>5.3155884687615504</v>
      </c>
      <c r="AF33" s="213">
        <f t="shared" si="11"/>
        <v>1765.749936278794</v>
      </c>
      <c r="AG33" s="214">
        <v>2</v>
      </c>
      <c r="AH33" s="237">
        <f t="shared" si="12"/>
        <v>0.049959514170040485</v>
      </c>
      <c r="AI33" s="215">
        <f t="shared" si="13"/>
        <v>1.998016410650281</v>
      </c>
      <c r="AJ33" s="215">
        <f t="shared" si="14"/>
        <v>2.001987531796623</v>
      </c>
      <c r="AK33" s="215">
        <f t="shared" si="26"/>
        <v>0.003971121146342016</v>
      </c>
      <c r="AL33" s="216">
        <f t="shared" si="15"/>
        <v>34.551325046950076</v>
      </c>
      <c r="AM33" s="216">
        <f t="shared" si="16"/>
        <v>1556.1160151324086</v>
      </c>
      <c r="AN33" s="216">
        <f t="shared" si="17"/>
        <v>1160.7369600298484</v>
      </c>
      <c r="AO33" s="213">
        <f t="shared" si="18"/>
        <v>1.7857069026109607</v>
      </c>
      <c r="AP33" s="213">
        <f t="shared" si="19"/>
        <v>1.7857069026109607</v>
      </c>
      <c r="AQ33" s="213">
        <f t="shared" si="20"/>
        <v>0.9935594523867052</v>
      </c>
      <c r="AR33" s="368">
        <f t="shared" si="30"/>
        <v>32.10526315789473</v>
      </c>
      <c r="AS33" s="33">
        <f t="shared" si="21"/>
        <v>38</v>
      </c>
    </row>
    <row r="34" spans="1:45" ht="12.75">
      <c r="A34" s="24">
        <v>34</v>
      </c>
      <c r="B34" s="179" t="s">
        <v>77</v>
      </c>
      <c r="C34" s="44" t="s">
        <v>209</v>
      </c>
      <c r="D34" s="183"/>
      <c r="E34" s="180">
        <v>4.55</v>
      </c>
      <c r="F34" s="180">
        <v>6.17</v>
      </c>
      <c r="G34" s="181">
        <f t="shared" si="0"/>
        <v>1.3560439560439561</v>
      </c>
      <c r="H34" s="182">
        <f t="shared" si="28"/>
        <v>7.6662507133539535</v>
      </c>
      <c r="I34" s="141">
        <f>F34/K34*1000</f>
        <v>1.5425</v>
      </c>
      <c r="J34" s="38">
        <f t="shared" si="1"/>
        <v>11799027.55267423</v>
      </c>
      <c r="K34" s="87">
        <v>4000</v>
      </c>
      <c r="L34" s="271"/>
      <c r="M34" s="41">
        <v>150.5</v>
      </c>
      <c r="N34" s="42">
        <f t="shared" si="2"/>
        <v>849.3885534092004</v>
      </c>
      <c r="O34" s="188">
        <f t="shared" si="3"/>
        <v>5.643777763516282</v>
      </c>
      <c r="P34" s="357">
        <v>5.8</v>
      </c>
      <c r="Q34" s="180">
        <f t="shared" si="25"/>
        <v>3.538</v>
      </c>
      <c r="R34" s="180">
        <f t="shared" si="4"/>
        <v>3.538</v>
      </c>
      <c r="S34" s="186"/>
      <c r="T34" s="51">
        <f t="shared" si="5"/>
        <v>0.8199335548172758</v>
      </c>
      <c r="U34" s="51">
        <f t="shared" si="6"/>
        <v>2.3486076979805355</v>
      </c>
      <c r="V34" s="372">
        <f t="shared" si="7"/>
        <v>0.46662811295681056</v>
      </c>
      <c r="W34" s="187">
        <f t="shared" si="22"/>
        <v>2.114042947674456</v>
      </c>
      <c r="X34" s="187">
        <f t="shared" si="23"/>
        <v>4.848936108756109</v>
      </c>
      <c r="Y34" s="187">
        <f t="shared" si="31"/>
        <v>4.848936108756109</v>
      </c>
      <c r="Z34" s="90">
        <v>0.0666666666666667</v>
      </c>
      <c r="AA34" s="91">
        <f t="shared" si="24"/>
        <v>0.4730935319962151</v>
      </c>
      <c r="AB34" s="209"/>
      <c r="AC34" s="211">
        <f t="shared" si="9"/>
        <v>3.4460865275601624</v>
      </c>
      <c r="AD34" s="210">
        <f t="shared" si="10"/>
        <v>5.3155884687615504</v>
      </c>
      <c r="AE34" s="232">
        <f t="shared" si="27"/>
        <v>5.3155884687615504</v>
      </c>
      <c r="AF34" s="213">
        <f t="shared" si="11"/>
        <v>734.6722832648544</v>
      </c>
      <c r="AG34" s="214">
        <v>2</v>
      </c>
      <c r="AH34" s="237">
        <f t="shared" si="12"/>
        <v>0.08199335548172758</v>
      </c>
      <c r="AI34" s="215">
        <f t="shared" si="13"/>
        <v>1.9949777452832378</v>
      </c>
      <c r="AJ34" s="215">
        <f t="shared" si="14"/>
        <v>2.0050476050751596</v>
      </c>
      <c r="AK34" s="215">
        <f t="shared" si="26"/>
        <v>0.010069859791921765</v>
      </c>
      <c r="AL34" s="216">
        <f t="shared" si="15"/>
        <v>30.830413118816992</v>
      </c>
      <c r="AM34" s="216">
        <f t="shared" si="16"/>
        <v>1743.9231204070095</v>
      </c>
      <c r="AN34" s="216">
        <f t="shared" si="17"/>
        <v>1160.7369600298484</v>
      </c>
      <c r="AO34" s="213">
        <f t="shared" si="18"/>
        <v>2.242750197244741</v>
      </c>
      <c r="AP34" s="213">
        <f t="shared" si="19"/>
        <v>2.242750197244741</v>
      </c>
      <c r="AQ34" s="213">
        <f t="shared" si="20"/>
        <v>0.9935594523867052</v>
      </c>
      <c r="AR34" s="368">
        <f t="shared" si="30"/>
        <v>47.01661129568107</v>
      </c>
      <c r="AS34" s="33">
        <f t="shared" si="21"/>
        <v>25.948275862068968</v>
      </c>
    </row>
    <row r="35" spans="1:45" ht="12.75">
      <c r="A35" s="24">
        <v>35</v>
      </c>
      <c r="B35" s="179" t="s">
        <v>77</v>
      </c>
      <c r="C35" s="44" t="s">
        <v>276</v>
      </c>
      <c r="D35" s="183"/>
      <c r="E35" s="180">
        <v>4.55</v>
      </c>
      <c r="F35" s="180">
        <v>6.17</v>
      </c>
      <c r="G35" s="181">
        <f t="shared" si="0"/>
        <v>1.3560439560439561</v>
      </c>
      <c r="H35" s="182">
        <f t="shared" si="28"/>
        <v>7.6662507133539535</v>
      </c>
      <c r="I35" s="141">
        <f>F35/K35*1000</f>
        <v>1.1902006172839505</v>
      </c>
      <c r="J35" s="38">
        <f t="shared" si="1"/>
        <v>19817835.46191248</v>
      </c>
      <c r="K35" s="87">
        <v>5184</v>
      </c>
      <c r="L35" s="271"/>
      <c r="M35" s="41">
        <v>172</v>
      </c>
      <c r="N35" s="42">
        <f t="shared" si="2"/>
        <v>970.7297753248005</v>
      </c>
      <c r="O35" s="188">
        <f t="shared" si="3"/>
        <v>5.643777763516282</v>
      </c>
      <c r="P35" s="357">
        <v>6.9</v>
      </c>
      <c r="Q35" s="180">
        <f t="shared" si="25"/>
        <v>4.2090000000000005</v>
      </c>
      <c r="R35" s="180">
        <f t="shared" si="4"/>
        <v>4.2090000000000005</v>
      </c>
      <c r="S35" s="186"/>
      <c r="T35" s="51">
        <f t="shared" si="5"/>
        <v>0.7174418604651163</v>
      </c>
      <c r="U35" s="51">
        <f t="shared" si="6"/>
        <v>2.0550991750919203</v>
      </c>
      <c r="V35" s="372">
        <f t="shared" si="7"/>
        <v>0.4852096046511628</v>
      </c>
      <c r="W35" s="187">
        <f t="shared" si="22"/>
        <v>1.4273052309030823</v>
      </c>
      <c r="X35" s="187">
        <f t="shared" si="23"/>
        <v>5.047491682097294</v>
      </c>
      <c r="Y35" s="187">
        <f t="shared" si="31"/>
        <v>5.047491682097294</v>
      </c>
      <c r="Z35" s="90">
        <v>0.0666666666666667</v>
      </c>
      <c r="AA35" s="91">
        <f t="shared" si="24"/>
        <v>0.7006961111429537</v>
      </c>
      <c r="AB35" s="209"/>
      <c r="AC35" s="211">
        <f t="shared" si="9"/>
        <v>4.466128139717971</v>
      </c>
      <c r="AD35" s="210">
        <f t="shared" si="10"/>
        <v>5.3155884687615504</v>
      </c>
      <c r="AE35" s="232">
        <f t="shared" si="27"/>
        <v>5.3155884687615504</v>
      </c>
      <c r="AF35" s="213">
        <f t="shared" si="11"/>
        <v>806.5967215259211</v>
      </c>
      <c r="AG35" s="214">
        <v>2</v>
      </c>
      <c r="AH35" s="237">
        <f t="shared" si="12"/>
        <v>0.07174418604651163</v>
      </c>
      <c r="AI35" s="215">
        <f t="shared" si="13"/>
        <v>1.99547762469077</v>
      </c>
      <c r="AJ35" s="215">
        <f t="shared" si="14"/>
        <v>2.0045429200989173</v>
      </c>
      <c r="AK35" s="215">
        <f t="shared" si="26"/>
        <v>0.009065295408147378</v>
      </c>
      <c r="AL35" s="216">
        <f t="shared" si="15"/>
        <v>36.6775604344547</v>
      </c>
      <c r="AM35" s="216">
        <f t="shared" si="16"/>
        <v>1465.9063910667617</v>
      </c>
      <c r="AN35" s="216">
        <f t="shared" si="17"/>
        <v>1160.7369600298484</v>
      </c>
      <c r="AO35" s="213">
        <f t="shared" si="18"/>
        <v>1.5846695365535197</v>
      </c>
      <c r="AP35" s="213">
        <f t="shared" si="19"/>
        <v>1.5846695365535197</v>
      </c>
      <c r="AQ35" s="213">
        <f t="shared" si="20"/>
        <v>0.9935594523867052</v>
      </c>
      <c r="AR35" s="368">
        <f t="shared" si="30"/>
        <v>48.941860465116285</v>
      </c>
      <c r="AS35" s="33">
        <f t="shared" si="21"/>
        <v>24.927536231884055</v>
      </c>
    </row>
    <row r="36" spans="1:45" ht="12.75">
      <c r="A36" s="24">
        <v>36</v>
      </c>
      <c r="B36" s="34" t="s">
        <v>77</v>
      </c>
      <c r="C36" s="24" t="s">
        <v>271</v>
      </c>
      <c r="D36" s="183"/>
      <c r="E36" s="33">
        <v>4.55</v>
      </c>
      <c r="F36" s="33">
        <v>6.17</v>
      </c>
      <c r="G36" s="119">
        <f t="shared" si="0"/>
        <v>1.3560439560439561</v>
      </c>
      <c r="H36" s="35">
        <f t="shared" si="28"/>
        <v>7.6662507133539535</v>
      </c>
      <c r="I36" s="141">
        <f>F36/K36*1000</f>
        <v>1.3389756944444444</v>
      </c>
      <c r="J36" s="38">
        <f t="shared" si="1"/>
        <v>15658536.661264181</v>
      </c>
      <c r="K36" s="87">
        <v>4608</v>
      </c>
      <c r="L36" s="271"/>
      <c r="M36" s="41">
        <v>135</v>
      </c>
      <c r="N36" s="42">
        <f t="shared" si="2"/>
        <v>761.9099980746981</v>
      </c>
      <c r="O36" s="188">
        <f t="shared" si="3"/>
        <v>5.643777763516282</v>
      </c>
      <c r="P36" s="357">
        <v>6.9</v>
      </c>
      <c r="Q36" s="180">
        <f t="shared" si="25"/>
        <v>4.2090000000000005</v>
      </c>
      <c r="R36" s="180">
        <f t="shared" si="4"/>
        <v>4.2090000000000005</v>
      </c>
      <c r="S36" s="186"/>
      <c r="T36" s="51">
        <f t="shared" si="5"/>
        <v>0.9140740740740741</v>
      </c>
      <c r="U36" s="51">
        <f t="shared" si="6"/>
        <v>2.6181736508005486</v>
      </c>
      <c r="V36" s="372">
        <f t="shared" si="7"/>
        <v>0.6193465555555556</v>
      </c>
      <c r="W36" s="187">
        <f t="shared" si="22"/>
        <v>2.045804164259987</v>
      </c>
      <c r="X36" s="187">
        <f t="shared" si="23"/>
        <v>6.430878290464641</v>
      </c>
      <c r="Y36" s="187">
        <f t="shared" si="31"/>
        <v>6.430878290464641</v>
      </c>
      <c r="Z36" s="90">
        <v>0.0666666666666667</v>
      </c>
      <c r="AA36" s="91">
        <f t="shared" si="24"/>
        <v>0.48889041397564287</v>
      </c>
      <c r="AB36" s="209"/>
      <c r="AC36" s="211">
        <f t="shared" si="9"/>
        <v>3.969891679749307</v>
      </c>
      <c r="AD36" s="210">
        <f t="shared" si="10"/>
        <v>5.3155884687615504</v>
      </c>
      <c r="AE36" s="232">
        <f t="shared" si="27"/>
        <v>5.3155884687615504</v>
      </c>
      <c r="AF36" s="213">
        <f t="shared" si="11"/>
        <v>496.89782483132484</v>
      </c>
      <c r="AG36" s="214">
        <v>2</v>
      </c>
      <c r="AH36" s="237">
        <f t="shared" si="12"/>
        <v>0.09140740740740741</v>
      </c>
      <c r="AI36" s="215">
        <f t="shared" si="13"/>
        <v>1.9925214955600161</v>
      </c>
      <c r="AJ36" s="215">
        <f t="shared" si="14"/>
        <v>2.0075348538781665</v>
      </c>
      <c r="AK36" s="215">
        <f t="shared" si="26"/>
        <v>0.015013358318150427</v>
      </c>
      <c r="AL36" s="216">
        <f t="shared" si="15"/>
        <v>36.6775604344547</v>
      </c>
      <c r="AM36" s="216">
        <f t="shared" si="16"/>
        <v>1465.9063910667617</v>
      </c>
      <c r="AN36" s="216">
        <f t="shared" si="17"/>
        <v>1160.7369600298484</v>
      </c>
      <c r="AO36" s="213">
        <f t="shared" si="18"/>
        <v>1.5846695365535197</v>
      </c>
      <c r="AP36" s="213">
        <f t="shared" si="19"/>
        <v>1.5846695365535197</v>
      </c>
      <c r="AQ36" s="213">
        <f t="shared" si="20"/>
        <v>0.9935594523867052</v>
      </c>
      <c r="AR36" s="368">
        <f t="shared" si="30"/>
        <v>62.35555555555556</v>
      </c>
      <c r="AS36" s="33">
        <f t="shared" si="21"/>
        <v>19.565217391304348</v>
      </c>
    </row>
    <row r="37" spans="1:45" ht="12.75">
      <c r="A37" s="24">
        <v>37</v>
      </c>
      <c r="B37" s="242" t="s">
        <v>77</v>
      </c>
      <c r="C37" s="49" t="s">
        <v>146</v>
      </c>
      <c r="D37" s="183"/>
      <c r="E37" s="212">
        <v>4.6</v>
      </c>
      <c r="F37" s="212">
        <v>6.13</v>
      </c>
      <c r="G37" s="243">
        <f t="shared" si="0"/>
        <v>1.332608695652174</v>
      </c>
      <c r="H37" s="244">
        <f t="shared" si="28"/>
        <v>7.6640002609603295</v>
      </c>
      <c r="I37" s="140">
        <v>1.7</v>
      </c>
      <c r="J37" s="38">
        <f t="shared" si="1"/>
        <v>9757093.425605536</v>
      </c>
      <c r="K37" s="38">
        <f>F37/I37*1000</f>
        <v>3605.8823529411766</v>
      </c>
      <c r="L37" s="220"/>
      <c r="M37" s="41">
        <v>28</v>
      </c>
      <c r="N37" s="42">
        <f t="shared" si="2"/>
        <v>158.07217997199012</v>
      </c>
      <c r="O37" s="188">
        <f t="shared" si="3"/>
        <v>5.645434998999647</v>
      </c>
      <c r="P37" s="357">
        <v>5.6</v>
      </c>
      <c r="Q37" s="180">
        <f t="shared" si="25"/>
        <v>3.416</v>
      </c>
      <c r="R37" s="180">
        <f t="shared" si="4"/>
        <v>3.416</v>
      </c>
      <c r="S37" s="186"/>
      <c r="T37" s="51">
        <f t="shared" si="5"/>
        <v>4.378571428571428</v>
      </c>
      <c r="U37" s="51">
        <f t="shared" si="6"/>
        <v>12.49393903635862</v>
      </c>
      <c r="V37" s="372">
        <f t="shared" si="7"/>
        <v>2.4365840000000003</v>
      </c>
      <c r="W37" s="187">
        <f t="shared" si="22"/>
        <v>12.523220363900194</v>
      </c>
      <c r="X37" s="187">
        <f t="shared" si="23"/>
        <v>25.164306237297243</v>
      </c>
      <c r="Y37" s="187">
        <f t="shared" si="31"/>
        <v>25.164306237297243</v>
      </c>
      <c r="Z37" s="90">
        <v>0.0666666666666667</v>
      </c>
      <c r="AA37" s="91">
        <f t="shared" si="24"/>
        <v>0.08016959135251495</v>
      </c>
      <c r="AB37" s="209"/>
      <c r="AC37" s="211">
        <f t="shared" si="9"/>
        <v>3.125898859283016</v>
      </c>
      <c r="AD37" s="210">
        <f t="shared" si="10"/>
        <v>5.314028060781127</v>
      </c>
      <c r="AE37" s="232">
        <f t="shared" si="27"/>
        <v>5.314028060781127</v>
      </c>
      <c r="AF37" s="213">
        <f t="shared" si="11"/>
        <v>26.34536332866502</v>
      </c>
      <c r="AG37" s="214">
        <v>2</v>
      </c>
      <c r="AH37" s="237">
        <f t="shared" si="12"/>
        <v>0.43785714285714283</v>
      </c>
      <c r="AI37" s="215">
        <f t="shared" si="13"/>
        <v>1.8607214960579475</v>
      </c>
      <c r="AJ37" s="215">
        <f t="shared" si="14"/>
        <v>2.161815993419404</v>
      </c>
      <c r="AK37" s="215">
        <f t="shared" si="26"/>
        <v>0.30109449736145644</v>
      </c>
      <c r="AL37" s="216">
        <f t="shared" si="15"/>
        <v>29.75855714037431</v>
      </c>
      <c r="AM37" s="216">
        <f t="shared" si="16"/>
        <v>1794.496487119438</v>
      </c>
      <c r="AN37" s="216">
        <f t="shared" si="17"/>
        <v>1153.5505514622612</v>
      </c>
      <c r="AO37" s="213">
        <f t="shared" si="18"/>
        <v>2.416476534177229</v>
      </c>
      <c r="AP37" s="213">
        <f t="shared" si="19"/>
        <v>2.416476534177229</v>
      </c>
      <c r="AQ37" s="213">
        <f t="shared" si="20"/>
        <v>0.9985518473055269</v>
      </c>
      <c r="AR37" s="368">
        <f t="shared" si="30"/>
        <v>243.99999999999997</v>
      </c>
      <c r="AS37" s="33">
        <f t="shared" si="21"/>
        <v>5</v>
      </c>
    </row>
    <row r="38" spans="1:45" ht="12.75">
      <c r="A38" s="24">
        <v>38</v>
      </c>
      <c r="B38" s="24" t="s">
        <v>67</v>
      </c>
      <c r="C38" s="24" t="s">
        <v>148</v>
      </c>
      <c r="D38" s="183"/>
      <c r="E38" s="33">
        <v>3.96</v>
      </c>
      <c r="F38" s="33">
        <v>5.27</v>
      </c>
      <c r="G38" s="119">
        <f t="shared" si="0"/>
        <v>1.3308080808080807</v>
      </c>
      <c r="H38" s="35">
        <f t="shared" si="28"/>
        <v>6.592002730581958</v>
      </c>
      <c r="I38" s="140">
        <v>2.6</v>
      </c>
      <c r="J38" s="38">
        <f t="shared" si="1"/>
        <v>3087159.763313609</v>
      </c>
      <c r="K38" s="38">
        <f>F38/I38*1000</f>
        <v>2026.923076923077</v>
      </c>
      <c r="L38" s="220"/>
      <c r="M38" s="41">
        <v>50</v>
      </c>
      <c r="N38" s="42">
        <f t="shared" si="2"/>
        <v>328.1750408327591</v>
      </c>
      <c r="O38" s="188">
        <f t="shared" si="3"/>
        <v>6.563500816655182</v>
      </c>
      <c r="P38" s="357">
        <v>2.8</v>
      </c>
      <c r="Q38" s="180">
        <f t="shared" si="25"/>
        <v>1.708</v>
      </c>
      <c r="R38" s="180">
        <f t="shared" si="4"/>
        <v>2.6</v>
      </c>
      <c r="S38" s="186"/>
      <c r="T38" s="51">
        <f t="shared" si="5"/>
        <v>2.1079999999999997</v>
      </c>
      <c r="U38" s="51">
        <f t="shared" si="6"/>
        <v>6.033393796596318</v>
      </c>
      <c r="V38" s="372">
        <f t="shared" si="7"/>
        <v>1.0374</v>
      </c>
      <c r="W38" s="187">
        <f t="shared" si="22"/>
        <v>10.725769915181516</v>
      </c>
      <c r="X38" s="187">
        <f t="shared" si="23"/>
        <v>7.046005778660137</v>
      </c>
      <c r="Y38" s="187">
        <f t="shared" si="31"/>
        <v>10.725769915181516</v>
      </c>
      <c r="Z38" s="90">
        <v>0.0666666666666667</v>
      </c>
      <c r="AA38" s="91">
        <f t="shared" si="24"/>
        <v>0.09331964844592418</v>
      </c>
      <c r="AB38" s="209"/>
      <c r="AC38" s="211">
        <f t="shared" si="9"/>
        <v>1.757973657774547</v>
      </c>
      <c r="AD38" s="210">
        <f t="shared" si="10"/>
        <v>4.570731510213823</v>
      </c>
      <c r="AE38" s="232">
        <f t="shared" si="27"/>
        <v>4.570731510213823</v>
      </c>
      <c r="AF38" s="213">
        <f t="shared" si="11"/>
        <v>195.34228620997567</v>
      </c>
      <c r="AG38" s="214">
        <v>2</v>
      </c>
      <c r="AH38" s="237">
        <f t="shared" si="12"/>
        <v>0.2108</v>
      </c>
      <c r="AI38" s="215">
        <f t="shared" si="13"/>
        <v>1.9802323746410984</v>
      </c>
      <c r="AJ38" s="215">
        <f t="shared" si="14"/>
        <v>2.020166264520838</v>
      </c>
      <c r="AK38" s="215">
        <f t="shared" si="26"/>
        <v>0.03993388987973945</v>
      </c>
      <c r="AL38" s="216">
        <f t="shared" si="15"/>
        <v>12.798048228598702</v>
      </c>
      <c r="AM38" s="216">
        <f t="shared" si="16"/>
        <v>3085.4800936768147</v>
      </c>
      <c r="AN38" s="216">
        <f t="shared" si="17"/>
        <v>1152.9883101257603</v>
      </c>
      <c r="AO38" s="213">
        <f t="shared" si="18"/>
        <v>7.153689210164044</v>
      </c>
      <c r="AP38" s="213">
        <f t="shared" si="19"/>
        <v>3.087159763313609</v>
      </c>
      <c r="AQ38" s="213">
        <f t="shared" si="20"/>
        <v>0.9989284423937685</v>
      </c>
      <c r="AR38" s="368">
        <f t="shared" si="30"/>
        <v>104</v>
      </c>
      <c r="AS38" s="33">
        <f t="shared" si="21"/>
        <v>17.857142857142858</v>
      </c>
    </row>
    <row r="39" spans="1:45" ht="12.75">
      <c r="A39" s="24">
        <v>39</v>
      </c>
      <c r="B39" s="24" t="s">
        <v>269</v>
      </c>
      <c r="C39" s="24" t="s">
        <v>270</v>
      </c>
      <c r="D39" s="183"/>
      <c r="E39" s="33">
        <v>3.52</v>
      </c>
      <c r="F39" s="33">
        <v>4.69</v>
      </c>
      <c r="G39" s="119">
        <f t="shared" si="0"/>
        <v>1.3323863636363638</v>
      </c>
      <c r="H39" s="35">
        <f t="shared" si="28"/>
        <v>5.86400034106411</v>
      </c>
      <c r="I39" s="141">
        <f>F39/K39*1000</f>
        <v>1.1145437262357416</v>
      </c>
      <c r="J39" s="38">
        <f t="shared" si="1"/>
        <v>13289886.840085287</v>
      </c>
      <c r="K39" s="87">
        <v>4208</v>
      </c>
      <c r="L39" s="271"/>
      <c r="M39" s="41">
        <v>3</v>
      </c>
      <c r="N39" s="42">
        <f t="shared" si="2"/>
        <v>22.13503382797374</v>
      </c>
      <c r="O39" s="188">
        <f t="shared" si="3"/>
        <v>7.3783446093245795</v>
      </c>
      <c r="P39" s="357">
        <v>2</v>
      </c>
      <c r="Q39" s="180">
        <f t="shared" si="25"/>
        <v>1.22</v>
      </c>
      <c r="R39" s="180">
        <f t="shared" si="4"/>
        <v>1.22</v>
      </c>
      <c r="S39" s="186"/>
      <c r="T39" s="51">
        <f t="shared" si="5"/>
        <v>31.26666666666667</v>
      </c>
      <c r="U39" s="51">
        <f t="shared" si="6"/>
        <v>76.02710861829179</v>
      </c>
      <c r="V39" s="372">
        <f t="shared" si="7"/>
        <v>8.132113333333333</v>
      </c>
      <c r="W39" s="187">
        <f t="shared" si="22"/>
        <v>76.63037838972387</v>
      </c>
      <c r="X39" s="187">
        <f t="shared" si="23"/>
        <v>83.88101658313401</v>
      </c>
      <c r="Y39" s="187">
        <f t="shared" si="31"/>
        <v>83.88101658313401</v>
      </c>
      <c r="Z39" s="90">
        <v>0.0666666666666667</v>
      </c>
      <c r="AA39" s="91">
        <f t="shared" si="24"/>
        <v>0.015374632945171083</v>
      </c>
      <c r="AB39" s="209"/>
      <c r="AC39" s="211">
        <f t="shared" si="9"/>
        <v>3.648087176039906</v>
      </c>
      <c r="AD39" s="210">
        <f t="shared" si="10"/>
        <v>4.065952674816341</v>
      </c>
      <c r="AE39" s="232">
        <f t="shared" si="27"/>
        <v>4.065952674816341</v>
      </c>
      <c r="AF39" s="213">
        <f t="shared" si="11"/>
        <v>1.1067516913986868</v>
      </c>
      <c r="AG39" s="214">
        <v>2</v>
      </c>
      <c r="AH39" s="237">
        <f t="shared" si="12"/>
        <v>3.126666666666667</v>
      </c>
      <c r="AI39" s="215">
        <f t="shared" si="13"/>
        <v>0.7131702542221965</v>
      </c>
      <c r="AJ39" s="215" t="str">
        <f t="shared" si="14"/>
        <v>infini</v>
      </c>
      <c r="AK39" s="215" t="e">
        <f t="shared" si="26"/>
        <v>#VALUE!</v>
      </c>
      <c r="AL39" s="216">
        <f t="shared" si="15"/>
        <v>8.131905349632682</v>
      </c>
      <c r="AM39" s="216">
        <f t="shared" si="16"/>
        <v>3844.2622950819677</v>
      </c>
      <c r="AN39" s="216">
        <f t="shared" si="17"/>
        <v>1153.4812072577424</v>
      </c>
      <c r="AO39" s="213">
        <f t="shared" si="18"/>
        <v>11.091642031711906</v>
      </c>
      <c r="AP39" s="213">
        <f t="shared" si="19"/>
        <v>11.091642031711906</v>
      </c>
      <c r="AQ39" s="213">
        <f t="shared" si="20"/>
        <v>0.9985984034432116</v>
      </c>
      <c r="AR39" s="368">
        <f t="shared" si="30"/>
        <v>813.3333333333333</v>
      </c>
      <c r="AS39" s="33">
        <f t="shared" si="21"/>
        <v>1.5</v>
      </c>
    </row>
    <row r="40" spans="1:45" ht="12.75">
      <c r="A40" s="24">
        <v>40</v>
      </c>
      <c r="B40" s="24" t="s">
        <v>16</v>
      </c>
      <c r="C40" s="24"/>
      <c r="D40" s="183"/>
      <c r="E40" s="33">
        <f>SQRT(H40^2-F40^2)</f>
        <v>2.7258760059841305</v>
      </c>
      <c r="F40" s="35">
        <v>4.8</v>
      </c>
      <c r="G40" s="119">
        <f t="shared" si="0"/>
        <v>1.7609018126512481</v>
      </c>
      <c r="H40" s="35">
        <v>5.52</v>
      </c>
      <c r="I40" s="140">
        <v>3</v>
      </c>
      <c r="J40" s="38">
        <f t="shared" si="1"/>
        <v>1453800.5365248695</v>
      </c>
      <c r="K40" s="38">
        <f>F40/I40*1000</f>
        <v>1599.9999999999998</v>
      </c>
      <c r="L40" s="220"/>
      <c r="M40" s="41">
        <v>50</v>
      </c>
      <c r="N40" s="42">
        <f t="shared" si="2"/>
        <v>391.9077473330424</v>
      </c>
      <c r="O40" s="188">
        <f t="shared" si="3"/>
        <v>7.838154946660848</v>
      </c>
      <c r="P40" s="357">
        <v>2.8</v>
      </c>
      <c r="Q40" s="180">
        <f t="shared" si="25"/>
        <v>1.708</v>
      </c>
      <c r="R40" s="180">
        <f t="shared" si="4"/>
        <v>3</v>
      </c>
      <c r="S40" s="186"/>
      <c r="T40" s="51">
        <f t="shared" si="5"/>
        <v>1.92</v>
      </c>
      <c r="U40" s="51">
        <f t="shared" si="6"/>
        <v>5.4961763601075</v>
      </c>
      <c r="V40" s="372">
        <f t="shared" si="7"/>
        <v>1.197</v>
      </c>
      <c r="W40" s="187">
        <f t="shared" si="22"/>
        <v>12.375888359974713</v>
      </c>
      <c r="X40" s="187">
        <f t="shared" si="23"/>
        <v>7.046005778660137</v>
      </c>
      <c r="Y40" s="187">
        <f t="shared" si="31"/>
        <v>12.375888359974713</v>
      </c>
      <c r="Z40" s="90">
        <v>0.0666666666666667</v>
      </c>
      <c r="AA40" s="91">
        <f t="shared" si="24"/>
        <v>0.08086429825475099</v>
      </c>
      <c r="AB40" s="209"/>
      <c r="AC40" s="211">
        <f t="shared" si="9"/>
        <v>1.2758104513180266</v>
      </c>
      <c r="AD40" s="210">
        <f t="shared" si="10"/>
        <v>3.82743135395408</v>
      </c>
      <c r="AE40" s="232">
        <f t="shared" si="27"/>
        <v>3.82743135395408</v>
      </c>
      <c r="AF40" s="213">
        <f t="shared" si="11"/>
        <v>233.27842103157286</v>
      </c>
      <c r="AG40" s="214">
        <v>2</v>
      </c>
      <c r="AH40" s="237">
        <f t="shared" si="12"/>
        <v>0.192</v>
      </c>
      <c r="AI40" s="215">
        <f t="shared" si="13"/>
        <v>1.9834203707915188</v>
      </c>
      <c r="AJ40" s="215">
        <f t="shared" si="14"/>
        <v>2.0168591476248725</v>
      </c>
      <c r="AK40" s="215">
        <f t="shared" si="26"/>
        <v>0.03343877683335372</v>
      </c>
      <c r="AL40" s="216">
        <f t="shared" si="15"/>
        <v>10.716807791071423</v>
      </c>
      <c r="AM40" s="216">
        <f t="shared" si="16"/>
        <v>2810.304449648712</v>
      </c>
      <c r="AN40" s="216">
        <f t="shared" si="17"/>
        <v>1254.1047914657356</v>
      </c>
      <c r="AO40" s="213">
        <f t="shared" si="18"/>
        <v>4.485094536772752</v>
      </c>
      <c r="AP40" s="213">
        <f t="shared" si="19"/>
        <v>1.4538005365248694</v>
      </c>
      <c r="AQ40" s="213">
        <f t="shared" si="20"/>
        <v>0.8931666812298352</v>
      </c>
      <c r="AR40" s="368">
        <f t="shared" si="30"/>
        <v>120.00000000000001</v>
      </c>
      <c r="AS40" s="33">
        <f t="shared" si="21"/>
        <v>17.857142857142858</v>
      </c>
    </row>
    <row r="41" spans="1:45" ht="12.75">
      <c r="A41" s="24">
        <v>41</v>
      </c>
      <c r="B41" s="24" t="s">
        <v>17</v>
      </c>
      <c r="C41" s="24"/>
      <c r="D41" s="183"/>
      <c r="E41" s="33">
        <f>SQRT(H41^2-F41^2)</f>
        <v>2.3999999999999995</v>
      </c>
      <c r="F41" s="35">
        <v>3.2</v>
      </c>
      <c r="G41" s="119">
        <f t="shared" si="0"/>
        <v>1.3333333333333337</v>
      </c>
      <c r="H41" s="35">
        <v>4</v>
      </c>
      <c r="I41" s="140">
        <v>3</v>
      </c>
      <c r="J41" s="38">
        <f t="shared" si="1"/>
        <v>853333.3333333331</v>
      </c>
      <c r="K41" s="38">
        <f>F41/I41*1000</f>
        <v>1066.6666666666667</v>
      </c>
      <c r="L41" s="220"/>
      <c r="M41" s="41">
        <v>50</v>
      </c>
      <c r="N41" s="42">
        <f t="shared" si="2"/>
        <v>540.8326913195984</v>
      </c>
      <c r="O41" s="188">
        <f t="shared" si="3"/>
        <v>10.816653826391969</v>
      </c>
      <c r="P41" s="357">
        <v>2.8</v>
      </c>
      <c r="Q41" s="180">
        <f t="shared" si="25"/>
        <v>1.708</v>
      </c>
      <c r="R41" s="180">
        <f t="shared" si="4"/>
        <v>3</v>
      </c>
      <c r="S41" s="186"/>
      <c r="T41" s="51">
        <f t="shared" si="5"/>
        <v>1.28</v>
      </c>
      <c r="U41" s="51">
        <f t="shared" si="6"/>
        <v>3.6656790118841185</v>
      </c>
      <c r="V41" s="372">
        <f t="shared" si="7"/>
        <v>1.197</v>
      </c>
      <c r="W41" s="187">
        <f t="shared" si="22"/>
        <v>12.375888359974713</v>
      </c>
      <c r="X41" s="187">
        <f t="shared" si="23"/>
        <v>7.046005778660137</v>
      </c>
      <c r="Y41" s="187">
        <f t="shared" si="31"/>
        <v>12.375888359974713</v>
      </c>
      <c r="Z41" s="90">
        <v>0.0666666666666667</v>
      </c>
      <c r="AA41" s="91">
        <f t="shared" si="24"/>
        <v>0.08082985316927774</v>
      </c>
      <c r="AB41" s="209"/>
      <c r="AC41" s="211">
        <f t="shared" si="9"/>
        <v>0.9245003270420485</v>
      </c>
      <c r="AD41" s="210">
        <f t="shared" si="10"/>
        <v>2.7735009811261455</v>
      </c>
      <c r="AE41" s="232">
        <f t="shared" si="27"/>
        <v>2.7735009811261455</v>
      </c>
      <c r="AF41" s="213">
        <f t="shared" si="11"/>
        <v>321.9242210235705</v>
      </c>
      <c r="AG41" s="214">
        <v>2</v>
      </c>
      <c r="AH41" s="237">
        <f t="shared" si="12"/>
        <v>0.128</v>
      </c>
      <c r="AI41" s="215">
        <f t="shared" si="13"/>
        <v>1.9879582882895883</v>
      </c>
      <c r="AJ41" s="215">
        <f t="shared" si="14"/>
        <v>2.0121884818955857</v>
      </c>
      <c r="AK41" s="215">
        <f t="shared" si="26"/>
        <v>0.02423019360599743</v>
      </c>
      <c r="AL41" s="216">
        <f t="shared" si="15"/>
        <v>7.765802747153207</v>
      </c>
      <c r="AM41" s="216">
        <f t="shared" si="16"/>
        <v>1873.536299765808</v>
      </c>
      <c r="AN41" s="216">
        <f t="shared" si="17"/>
        <v>1153.7764081484768</v>
      </c>
      <c r="AO41" s="213">
        <f t="shared" si="18"/>
        <v>2.632603699905116</v>
      </c>
      <c r="AP41" s="213">
        <f t="shared" si="19"/>
        <v>0.8533333333333332</v>
      </c>
      <c r="AQ41" s="213">
        <f t="shared" si="20"/>
        <v>0.9984</v>
      </c>
      <c r="AR41" s="368">
        <f t="shared" si="30"/>
        <v>120</v>
      </c>
      <c r="AS41" s="33">
        <f t="shared" si="21"/>
        <v>17.857142857142858</v>
      </c>
    </row>
    <row r="42" spans="1:45" ht="12.75">
      <c r="A42" s="183"/>
      <c r="B42" s="183" t="s">
        <v>328</v>
      </c>
      <c r="C42" s="183"/>
      <c r="D42" s="183"/>
      <c r="E42" s="186"/>
      <c r="F42" s="217"/>
      <c r="G42" s="218"/>
      <c r="H42" s="217"/>
      <c r="I42" s="219"/>
      <c r="J42" s="220"/>
      <c r="K42" s="220"/>
      <c r="L42" s="220"/>
      <c r="M42" s="221"/>
      <c r="N42" s="220"/>
      <c r="O42" s="222"/>
      <c r="P42" s="221"/>
      <c r="Q42" s="186"/>
      <c r="R42" s="186"/>
      <c r="S42" s="186"/>
      <c r="T42" s="186"/>
      <c r="U42" s="186"/>
      <c r="V42" s="186"/>
      <c r="W42" s="209"/>
      <c r="X42" s="209"/>
      <c r="Y42" s="209"/>
      <c r="Z42" s="223"/>
      <c r="AA42" s="209"/>
      <c r="AB42" s="209"/>
      <c r="AC42" s="265"/>
      <c r="AD42" s="209"/>
      <c r="AE42" s="233"/>
      <c r="AF42" s="186"/>
      <c r="AG42" s="184"/>
      <c r="AH42" s="184"/>
      <c r="AI42" s="218"/>
      <c r="AJ42" s="218"/>
      <c r="AK42" s="218"/>
      <c r="AL42" s="225"/>
      <c r="AM42" s="225"/>
      <c r="AN42" s="225"/>
      <c r="AO42" s="186"/>
      <c r="AP42" s="186"/>
      <c r="AQ42" s="186"/>
      <c r="AR42" s="186"/>
      <c r="AS42" s="186"/>
    </row>
    <row r="43" spans="1:45" ht="12.75">
      <c r="A43" s="183"/>
      <c r="B43" s="183" t="s">
        <v>343</v>
      </c>
      <c r="C43" s="183"/>
      <c r="D43" s="183"/>
      <c r="E43" s="186"/>
      <c r="F43" s="217"/>
      <c r="G43" s="218"/>
      <c r="H43" s="217"/>
      <c r="I43" s="219"/>
      <c r="J43" s="220"/>
      <c r="K43" s="220"/>
      <c r="L43" s="220"/>
      <c r="M43" s="221"/>
      <c r="N43" s="220"/>
      <c r="O43" s="222"/>
      <c r="P43" s="221"/>
      <c r="Q43" s="186"/>
      <c r="R43" s="186"/>
      <c r="S43" s="186"/>
      <c r="T43" s="186"/>
      <c r="U43" s="186"/>
      <c r="V43" s="186"/>
      <c r="W43" s="209"/>
      <c r="X43" s="209"/>
      <c r="Y43" s="209"/>
      <c r="Z43" s="223"/>
      <c r="AA43" s="209"/>
      <c r="AB43" s="209"/>
      <c r="AC43" s="265"/>
      <c r="AD43" s="209"/>
      <c r="AE43" s="233"/>
      <c r="AF43" s="186"/>
      <c r="AG43" s="184"/>
      <c r="AH43" s="184"/>
      <c r="AI43" s="218"/>
      <c r="AJ43" s="218"/>
      <c r="AK43" s="218"/>
      <c r="AL43" s="225"/>
      <c r="AM43" s="225"/>
      <c r="AN43" s="225"/>
      <c r="AO43" s="186"/>
      <c r="AP43" s="186"/>
      <c r="AQ43" s="186"/>
      <c r="AR43" s="186"/>
      <c r="AS43" s="186"/>
    </row>
    <row r="44" spans="1:45" ht="12.75">
      <c r="A44" s="24"/>
      <c r="B44" s="49" t="s">
        <v>92</v>
      </c>
      <c r="C44" s="49" t="s">
        <v>181</v>
      </c>
      <c r="D44" s="183"/>
      <c r="E44" s="212">
        <v>15.8</v>
      </c>
      <c r="F44" s="244">
        <v>23.6</v>
      </c>
      <c r="G44" s="243">
        <f>F44/E44</f>
        <v>1.4936708860759493</v>
      </c>
      <c r="H44" s="244">
        <f>SQRT(F44^2+E44^2)</f>
        <v>28.400704216621108</v>
      </c>
      <c r="I44" s="141">
        <f>F44/K44*1000</f>
        <v>5.503731343283582</v>
      </c>
      <c r="J44" s="38">
        <f>(E44*F44)/I44^2*1000000</f>
        <v>12309903.18644068</v>
      </c>
      <c r="K44" s="87">
        <v>4288</v>
      </c>
      <c r="L44" s="271"/>
      <c r="M44" s="41">
        <v>105</v>
      </c>
      <c r="N44" s="226">
        <f>M44*H$7/H44</f>
        <v>159.96063239959747</v>
      </c>
      <c r="O44" s="188">
        <f>N44/M44</f>
        <v>1.5234345942818808</v>
      </c>
      <c r="P44" s="358">
        <v>15.4</v>
      </c>
      <c r="Q44" s="180">
        <f>1.22*Q$5*P44</f>
        <v>9.394</v>
      </c>
      <c r="R44" s="180">
        <f>MAX(I44,Q44)</f>
        <v>9.394</v>
      </c>
      <c r="S44" s="186"/>
      <c r="T44" s="51">
        <f>T$5*F44/M44</f>
        <v>4.495238095238095</v>
      </c>
      <c r="U44" s="51">
        <f>2*ATAN(F44/2/M44)*180/PI()</f>
        <v>12.824101926949291</v>
      </c>
      <c r="V44" s="372">
        <f>(V$5*1000-M44)/M44*MAX(I44,Q44)/1000</f>
        <v>1.7799393333333335</v>
      </c>
      <c r="W44" s="187">
        <f>ATAN(I44/M44/1000)*180/PI()*3600</f>
        <v>10.811676934464629</v>
      </c>
      <c r="X44" s="187">
        <f>ATAN(Q44/M44/1000)*180/PI()*3600</f>
        <v>18.453824616337002</v>
      </c>
      <c r="Y44" s="187">
        <f>ATAN(R44/M44/1000)*180/PI()*3600</f>
        <v>18.453824616337002</v>
      </c>
      <c r="Z44" s="90">
        <v>0.06666666666666667</v>
      </c>
      <c r="AA44" s="91">
        <f>K44*360/U44*Z44/86400</f>
        <v>0.09288066469653077</v>
      </c>
      <c r="AB44" s="209"/>
      <c r="AC44" s="211">
        <f>AE44/I44</f>
        <v>3.5779990017861896</v>
      </c>
      <c r="AD44" s="210">
        <f>AC44*I44</f>
        <v>19.69234525236802</v>
      </c>
      <c r="AE44" s="232">
        <f>$AE$5/O44</f>
        <v>19.69234525236802</v>
      </c>
      <c r="AF44" s="213">
        <f>M44^2/P44/AD44</f>
        <v>36.354689181726705</v>
      </c>
      <c r="AG44" s="227">
        <v>0.5</v>
      </c>
      <c r="AH44" s="238">
        <f>F44*AG44/M44</f>
        <v>0.11238095238095239</v>
      </c>
      <c r="AI44" s="215">
        <f>(AF44*AG44)/(AF44+AG44-M44/1000)</f>
        <v>0.494625804887128</v>
      </c>
      <c r="AJ44" s="215">
        <f>IF(AF44*AG44/(AF44-AG44+M44/1000)&lt;0,"infini",AF44*AG44/(AF44-AG44+M44/1000))</f>
        <v>0.505492261042689</v>
      </c>
      <c r="AK44" s="228">
        <f>AJ44-AI44</f>
        <v>0.010866456155560977</v>
      </c>
      <c r="AL44" s="216">
        <f>P44*AD44</f>
        <v>303.26211688646754</v>
      </c>
      <c r="AM44" s="235">
        <f>F44/Q44*1000</f>
        <v>2512.2418565041517</v>
      </c>
      <c r="AN44" s="216">
        <f>F44/AD44*1000</f>
        <v>1198.435214168413</v>
      </c>
      <c r="AO44" s="213">
        <f>E44*F44/Q44^2</f>
        <v>4.225401461865617</v>
      </c>
      <c r="AP44" s="239">
        <f>E44*F44/R44^2</f>
        <v>4.225401461865617</v>
      </c>
      <c r="AQ44" s="239">
        <f>E44*F44/AD44^2</f>
        <v>0.9615551698487486</v>
      </c>
      <c r="AR44" s="368">
        <f>AH44*1000/(F44/R44)</f>
        <v>44.73333333333334</v>
      </c>
      <c r="AS44" s="33">
        <f>M44/P44</f>
        <v>6.818181818181818</v>
      </c>
    </row>
    <row r="45" spans="1:45" ht="12.75">
      <c r="A45" s="24"/>
      <c r="B45" s="242" t="s">
        <v>77</v>
      </c>
      <c r="C45" s="49" t="s">
        <v>146</v>
      </c>
      <c r="D45" s="183"/>
      <c r="E45" s="212">
        <v>4.6</v>
      </c>
      <c r="F45" s="212">
        <v>6.13</v>
      </c>
      <c r="G45" s="243">
        <f>F45/E45</f>
        <v>1.332608695652174</v>
      </c>
      <c r="H45" s="244">
        <f>SQRT(F45^2+E45^2)</f>
        <v>7.6640002609603295</v>
      </c>
      <c r="I45" s="140">
        <v>1.7</v>
      </c>
      <c r="J45" s="38">
        <f>(E45*F45)/I45^2*1000000</f>
        <v>9757093.425605536</v>
      </c>
      <c r="K45" s="38">
        <f>F45/I45*1000</f>
        <v>3605.8823529411766</v>
      </c>
      <c r="L45" s="220"/>
      <c r="M45" s="41">
        <v>28.4</v>
      </c>
      <c r="N45" s="226">
        <f>M45*H$7/H45</f>
        <v>160.33035397159</v>
      </c>
      <c r="O45" s="188">
        <f>N45/M45</f>
        <v>5.645434998999648</v>
      </c>
      <c r="P45" s="358">
        <v>4</v>
      </c>
      <c r="Q45" s="180">
        <f>1.22*Q$5*P45</f>
        <v>2.44</v>
      </c>
      <c r="R45" s="180">
        <f>MAX(I45,Q45)</f>
        <v>2.44</v>
      </c>
      <c r="S45" s="186"/>
      <c r="T45" s="51">
        <f>T$5*F45/M45</f>
        <v>4.316901408450704</v>
      </c>
      <c r="U45" s="51">
        <f>2*ATAN(F45/2/M45)*180/PI()</f>
        <v>12.31933034756728</v>
      </c>
      <c r="V45" s="372">
        <f>(V$5*1000-M45)/M45*MAX(I45,Q45)/1000</f>
        <v>1.7158698591549295</v>
      </c>
      <c r="W45" s="187">
        <f>ATAN(I45/M45/1000)*180/PI()*3600</f>
        <v>12.34683697891749</v>
      </c>
      <c r="X45" s="187">
        <f>ATAN(Q45/M45/1000)*180/PI()*3600</f>
        <v>17.72134246495015</v>
      </c>
      <c r="Y45" s="187">
        <f>ATAN(R45/M45/1000)*180/PI()*3600</f>
        <v>17.72134246495015</v>
      </c>
      <c r="Z45" s="90">
        <v>0.0666666666666667</v>
      </c>
      <c r="AA45" s="91">
        <f>K45*360/U45*Z45/86400</f>
        <v>0.08130587935129928</v>
      </c>
      <c r="AB45" s="209"/>
      <c r="AC45" s="211">
        <f>AE45/I45</f>
        <v>3.1258988592830157</v>
      </c>
      <c r="AD45" s="210">
        <f>AC45*I45</f>
        <v>5.314028060781126</v>
      </c>
      <c r="AE45" s="232">
        <f>$AE$5/O45</f>
        <v>5.314028060781126</v>
      </c>
      <c r="AF45" s="213">
        <f>M45^2/P45/AD45</f>
        <v>37.94485043994297</v>
      </c>
      <c r="AG45" s="227">
        <v>0.5</v>
      </c>
      <c r="AH45" s="238">
        <f>F45*AG45/M45</f>
        <v>0.10792253521126761</v>
      </c>
      <c r="AI45" s="215">
        <f>(AF45*AG45)/(AF45+AG45-M45/1000)</f>
        <v>0.49386200449808265</v>
      </c>
      <c r="AJ45" s="215">
        <f>IF(AF45*AG45/(AF45-AG45+M45/1000)&lt;0,"infini",AF45*AG45/(AF45-AG45+M45/1000))</f>
        <v>0.5062924885680229</v>
      </c>
      <c r="AK45" s="228">
        <f>AJ45-AI45</f>
        <v>0.01243048406994024</v>
      </c>
      <c r="AL45" s="216">
        <f>P45*AD45</f>
        <v>21.256112243124505</v>
      </c>
      <c r="AM45" s="235">
        <f>F45/Q45*1000</f>
        <v>2512.295081967213</v>
      </c>
      <c r="AN45" s="216">
        <f>F45/AD45*1000</f>
        <v>1153.5505514622614</v>
      </c>
      <c r="AO45" s="213">
        <f>E45*F45/Q45^2</f>
        <v>4.736294006987369</v>
      </c>
      <c r="AP45" s="239">
        <f>E45*F45/R45^2</f>
        <v>4.736294006987369</v>
      </c>
      <c r="AQ45" s="239">
        <f>E45*F45/AD45^2</f>
        <v>0.9985518473055272</v>
      </c>
      <c r="AR45" s="368">
        <f>AH45*1000/(F45/R45)</f>
        <v>42.95774647887325</v>
      </c>
      <c r="AS45" s="33">
        <f>M45/P45</f>
        <v>7.1</v>
      </c>
    </row>
    <row r="46" spans="1:45" ht="12.75">
      <c r="A46" s="183"/>
      <c r="B46" s="183" t="s">
        <v>343</v>
      </c>
      <c r="C46" s="183"/>
      <c r="D46" s="183"/>
      <c r="E46" s="186"/>
      <c r="F46" s="217"/>
      <c r="G46" s="218"/>
      <c r="H46" s="217"/>
      <c r="I46" s="219"/>
      <c r="J46" s="220"/>
      <c r="K46" s="220"/>
      <c r="L46" s="220"/>
      <c r="M46" s="221"/>
      <c r="N46" s="220"/>
      <c r="O46" s="222"/>
      <c r="P46" s="221"/>
      <c r="Q46" s="186"/>
      <c r="R46" s="186"/>
      <c r="S46" s="186"/>
      <c r="T46" s="186"/>
      <c r="U46" s="186"/>
      <c r="V46" s="186"/>
      <c r="W46" s="209"/>
      <c r="X46" s="209"/>
      <c r="Y46" s="209"/>
      <c r="Z46" s="223"/>
      <c r="AA46" s="209"/>
      <c r="AB46" s="209"/>
      <c r="AC46" s="265"/>
      <c r="AD46" s="209"/>
      <c r="AE46" s="233"/>
      <c r="AF46" s="186"/>
      <c r="AG46" s="184"/>
      <c r="AH46" s="184"/>
      <c r="AI46" s="218"/>
      <c r="AJ46" s="218"/>
      <c r="AK46" s="218"/>
      <c r="AL46" s="225"/>
      <c r="AM46" s="225"/>
      <c r="AN46" s="225"/>
      <c r="AO46" s="186"/>
      <c r="AP46" s="186"/>
      <c r="AQ46" s="186"/>
      <c r="AR46" s="186"/>
      <c r="AS46" s="186"/>
    </row>
    <row r="47" spans="1:45" ht="12.75">
      <c r="A47" s="24"/>
      <c r="B47" s="44" t="s">
        <v>226</v>
      </c>
      <c r="C47" s="44" t="s">
        <v>227</v>
      </c>
      <c r="D47" s="183"/>
      <c r="E47" s="180">
        <v>15.6</v>
      </c>
      <c r="F47" s="182">
        <v>23.5</v>
      </c>
      <c r="G47" s="181">
        <f>F47/E47</f>
        <v>1.5064102564102564</v>
      </c>
      <c r="H47" s="182">
        <f>SQRT(F47^2+E47^2)</f>
        <v>28.20655952079232</v>
      </c>
      <c r="I47" s="141">
        <f>F47/K47*1000</f>
        <v>3.9166666666666665</v>
      </c>
      <c r="J47" s="38">
        <f>(E47*F47)/I47^2*1000000</f>
        <v>23897872.340425532</v>
      </c>
      <c r="K47" s="87">
        <v>6000</v>
      </c>
      <c r="L47" s="271"/>
      <c r="M47" s="41">
        <v>391</v>
      </c>
      <c r="N47" s="236">
        <f>M47*H$7/H47</f>
        <v>599.7628520417946</v>
      </c>
      <c r="O47" s="188">
        <f>N47/M47</f>
        <v>1.5339203377027997</v>
      </c>
      <c r="P47" s="230">
        <v>7.121</v>
      </c>
      <c r="Q47" s="180">
        <f>1.22*Q$5*P47</f>
        <v>4.34381</v>
      </c>
      <c r="R47" s="180">
        <f>MAX(I47,Q47)</f>
        <v>4.34381</v>
      </c>
      <c r="S47" s="266"/>
      <c r="T47" s="51">
        <f>T$5*F47/M47</f>
        <v>1.2020460358056266</v>
      </c>
      <c r="U47" s="93">
        <f>2*ATAN(F47/2/M47)*180/PI()</f>
        <v>3.4425721845759583</v>
      </c>
      <c r="V47" s="372">
        <f>(V$5*1000-M47)/M47*MAX(I47,Q47)/1000</f>
        <v>0.2178459598209719</v>
      </c>
      <c r="W47" s="187">
        <f>ATAN(I47/M47/1000)*180/PI()*3600</f>
        <v>2.0661649388937082</v>
      </c>
      <c r="X47" s="187">
        <f>ATAN(Q47/M47/1000)*180/PI()*3600</f>
        <v>2.2914964910162126</v>
      </c>
      <c r="Y47" s="187">
        <f aca="true" t="shared" si="32" ref="Y47:Y69">ATAN(R47/M47/1000)*180/PI()*3600</f>
        <v>2.2914964910162126</v>
      </c>
      <c r="Z47" s="90">
        <v>0.016666666666666666</v>
      </c>
      <c r="AA47" s="94">
        <f>K47*360/U47*Z47/86400</f>
        <v>0.12103353083879924</v>
      </c>
      <c r="AB47" s="265"/>
      <c r="AC47" s="211">
        <f>AE47/I47</f>
        <v>4.9934630109645015</v>
      </c>
      <c r="AD47" s="210">
        <f>AC47*I47</f>
        <v>19.55773012627763</v>
      </c>
      <c r="AE47" s="232">
        <f>$AE$5/O47</f>
        <v>19.55773012627763</v>
      </c>
      <c r="AF47" s="213">
        <f>M47^2/P47/AD47</f>
        <v>1097.7263265849447</v>
      </c>
      <c r="AG47" s="227">
        <v>1</v>
      </c>
      <c r="AH47" s="238">
        <f>F47*AG47/M47</f>
        <v>0.06010230179028133</v>
      </c>
      <c r="AI47" s="240">
        <f>(AF47*AG47)/(AF47+AG47-M47/1000)</f>
        <v>0.9994455245267458</v>
      </c>
      <c r="AJ47" s="240">
        <f>IF(AF47*AG47/(AF47-AG47+M47/1000)&lt;0,"infini",AF47*AG47/(AF47-AG47+M47/1000))</f>
        <v>1.0005550910419905</v>
      </c>
      <c r="AK47" s="353">
        <f>AJ47-AI47</f>
        <v>0.001109566515244631</v>
      </c>
      <c r="AL47" s="216">
        <f>P47*AD47</f>
        <v>139.270596229223</v>
      </c>
      <c r="AM47" s="235">
        <f>F47/Q47*1000</f>
        <v>5409.997214426966</v>
      </c>
      <c r="AN47" s="216">
        <f>F47/AD47*1000</f>
        <v>1201.5709312005265</v>
      </c>
      <c r="AO47" s="213">
        <f>E47*F47/Q47^2</f>
        <v>19.429016587986272</v>
      </c>
      <c r="AP47" s="239">
        <f>E47*F47/R47^2</f>
        <v>19.429016587986272</v>
      </c>
      <c r="AQ47" s="239">
        <f>E47*F47/AD47^2</f>
        <v>0.958419326051709</v>
      </c>
      <c r="AR47" s="368">
        <f>AH47*1000/(F47/R47)</f>
        <v>11.109488491048594</v>
      </c>
      <c r="AS47" s="33">
        <f>M47/P47</f>
        <v>54.908018536722366</v>
      </c>
    </row>
    <row r="48" spans="1:45" ht="12.75">
      <c r="A48" s="24"/>
      <c r="B48" s="178" t="s">
        <v>280</v>
      </c>
      <c r="C48" s="178" t="s">
        <v>287</v>
      </c>
      <c r="D48" s="269"/>
      <c r="E48" s="33">
        <v>8.8</v>
      </c>
      <c r="F48" s="33">
        <v>13.2</v>
      </c>
      <c r="G48" s="119">
        <f>F48/E48</f>
        <v>1.4999999999999998</v>
      </c>
      <c r="H48" s="35">
        <f>SQRT(F48^2+E48^2)</f>
        <v>15.864425612041552</v>
      </c>
      <c r="I48" s="141">
        <f>F48/K48*1000</f>
        <v>2.4122807017543857</v>
      </c>
      <c r="J48" s="38">
        <f>(E48*F48)/I48^2*1000000</f>
        <v>19961856.000000004</v>
      </c>
      <c r="K48" s="87">
        <v>5472</v>
      </c>
      <c r="L48" s="271"/>
      <c r="M48" s="41">
        <v>220</v>
      </c>
      <c r="N48" s="226">
        <f>M48*H$7/H48</f>
        <v>600</v>
      </c>
      <c r="O48" s="188">
        <f>N48/M48</f>
        <v>2.727272727272727</v>
      </c>
      <c r="P48" s="358">
        <v>4</v>
      </c>
      <c r="Q48" s="180">
        <f>1.22*Q$5*P48</f>
        <v>2.44</v>
      </c>
      <c r="R48" s="180">
        <f>MAX(I48,Q48)</f>
        <v>2.44</v>
      </c>
      <c r="S48" s="186"/>
      <c r="T48" s="51">
        <f>T$5*F48/M48</f>
        <v>1.2</v>
      </c>
      <c r="U48" s="51">
        <f>2*ATAN(F48/2/M48)*180/PI()</f>
        <v>3.4367160033109143</v>
      </c>
      <c r="V48" s="372">
        <f>(V$5*1000-M48)/M48*MAX(I48,Q48)/1000</f>
        <v>0.2193781818181818</v>
      </c>
      <c r="W48" s="187">
        <f>ATAN(I48/M48/1000)*180/PI()*3600</f>
        <v>2.261675507004715</v>
      </c>
      <c r="X48" s="187">
        <f>ATAN(Q48/M48/1000)*180/PI()*3600</f>
        <v>2.287664214646722</v>
      </c>
      <c r="Y48" s="187">
        <f t="shared" si="32"/>
        <v>2.287664214646722</v>
      </c>
      <c r="Z48" s="90">
        <v>0.0666666666666667</v>
      </c>
      <c r="AA48" s="91">
        <f>K48*360/U48*Z48/86400</f>
        <v>0.4422826903752421</v>
      </c>
      <c r="AB48" s="209"/>
      <c r="AC48" s="211">
        <f>AE48/I48</f>
        <v>4.5600000000000005</v>
      </c>
      <c r="AD48" s="210">
        <f>AC48*I48</f>
        <v>11</v>
      </c>
      <c r="AE48" s="232">
        <f>$AE$5/O48</f>
        <v>11</v>
      </c>
      <c r="AF48" s="213">
        <f>M48^2/P48/AD48</f>
        <v>1100</v>
      </c>
      <c r="AG48" s="227">
        <v>1</v>
      </c>
      <c r="AH48" s="238">
        <f>F48*AG48/M48</f>
        <v>0.06</v>
      </c>
      <c r="AI48" s="240">
        <f>(AF48*AG48)/(AF48+AG48-M48/1000)</f>
        <v>0.9992914115445412</v>
      </c>
      <c r="AJ48" s="240">
        <f>IF(AF48*AG48/(AF48-AG48+M48/1000)&lt;0,"infini",AF48*AG48/(AF48-AG48+M48/1000))</f>
        <v>1.000709594075799</v>
      </c>
      <c r="AK48" s="353">
        <f>AJ48-AI48</f>
        <v>0.0014181825312579166</v>
      </c>
      <c r="AL48" s="216">
        <f>P48*AD48</f>
        <v>44</v>
      </c>
      <c r="AM48" s="235">
        <f>F48/Q48*1000</f>
        <v>5409.836065573771</v>
      </c>
      <c r="AN48" s="216">
        <f>F48/AD48*1000</f>
        <v>1200</v>
      </c>
      <c r="AO48" s="213">
        <f>E48*F48/Q48^2</f>
        <v>19.510884170921795</v>
      </c>
      <c r="AP48" s="239">
        <f>E48*F48/R48^2</f>
        <v>19.510884170921795</v>
      </c>
      <c r="AQ48" s="239">
        <f>E48*F48/AD48^2</f>
        <v>0.96</v>
      </c>
      <c r="AR48" s="368">
        <f>AH48*1000/(F48/R48)</f>
        <v>11.09090909090909</v>
      </c>
      <c r="AS48" s="33">
        <f>M48/P48</f>
        <v>55</v>
      </c>
    </row>
    <row r="49" spans="1:45" ht="12.75">
      <c r="A49" s="183"/>
      <c r="B49" s="183" t="s">
        <v>332</v>
      </c>
      <c r="C49" s="183"/>
      <c r="D49" s="183"/>
      <c r="E49" s="186"/>
      <c r="F49" s="217"/>
      <c r="G49" s="218"/>
      <c r="H49" s="217"/>
      <c r="I49" s="219"/>
      <c r="J49" s="220"/>
      <c r="K49" s="220"/>
      <c r="L49" s="220"/>
      <c r="M49" s="221"/>
      <c r="N49" s="220"/>
      <c r="O49" s="222"/>
      <c r="P49" s="221"/>
      <c r="Q49" s="186"/>
      <c r="R49" s="186"/>
      <c r="S49" s="186"/>
      <c r="T49" s="186"/>
      <c r="U49" s="186"/>
      <c r="V49" s="186"/>
      <c r="W49" s="209"/>
      <c r="X49" s="209"/>
      <c r="Y49" s="209"/>
      <c r="Z49" s="223"/>
      <c r="AA49" s="209"/>
      <c r="AB49" s="209"/>
      <c r="AC49" s="265"/>
      <c r="AD49" s="209"/>
      <c r="AE49" s="233"/>
      <c r="AF49" s="186"/>
      <c r="AG49" s="184"/>
      <c r="AH49" s="184"/>
      <c r="AI49" s="218"/>
      <c r="AJ49" s="218"/>
      <c r="AK49" s="222"/>
      <c r="AL49" s="225"/>
      <c r="AM49" s="225"/>
      <c r="AN49" s="225"/>
      <c r="AO49" s="186"/>
      <c r="AP49" s="186"/>
      <c r="AQ49" s="186"/>
      <c r="AR49" s="186"/>
      <c r="AS49" s="186"/>
    </row>
    <row r="50" spans="1:45" ht="12.75">
      <c r="A50" s="24"/>
      <c r="B50" s="24" t="s">
        <v>205</v>
      </c>
      <c r="C50" s="24"/>
      <c r="D50" s="183"/>
      <c r="E50" s="33">
        <v>14.9</v>
      </c>
      <c r="F50" s="35">
        <v>22.3</v>
      </c>
      <c r="G50" s="119">
        <f aca="true" t="shared" si="33" ref="G50:G57">F50/E50</f>
        <v>1.4966442953020134</v>
      </c>
      <c r="H50" s="35">
        <f aca="true" t="shared" si="34" ref="H50:H57">SQRT(F50^2+E50^2)</f>
        <v>26.819768828235638</v>
      </c>
      <c r="I50" s="141">
        <f aca="true" t="shared" si="35" ref="I50:I57">F50/K50*1000</f>
        <v>4.301697530864198</v>
      </c>
      <c r="J50" s="38">
        <f aca="true" t="shared" si="36" ref="J50:J57">(E50*F50)/I50^2*1000000</f>
        <v>17956074.188340805</v>
      </c>
      <c r="K50" s="87">
        <v>5184</v>
      </c>
      <c r="L50" s="271"/>
      <c r="M50" s="41">
        <v>400</v>
      </c>
      <c r="N50" s="92">
        <f aca="true" t="shared" si="37" ref="N50:N57">M50*H$7/H50</f>
        <v>645.2943809122937</v>
      </c>
      <c r="O50" s="188">
        <f aca="true" t="shared" si="38" ref="O50:O57">N50/M50</f>
        <v>1.6132359522807342</v>
      </c>
      <c r="P50" s="357">
        <v>11</v>
      </c>
      <c r="Q50" s="180">
        <f aca="true" t="shared" si="39" ref="Q50:Q69">1.22*Q$5*P50</f>
        <v>6.71</v>
      </c>
      <c r="R50" s="180">
        <f aca="true" t="shared" si="40" ref="R50:R57">MAX(I50,Q50)</f>
        <v>6.71</v>
      </c>
      <c r="S50" s="266"/>
      <c r="T50" s="51">
        <f aca="true" t="shared" si="41" ref="T50:T57">T$5*F50/M50</f>
        <v>1.115</v>
      </c>
      <c r="U50" s="93">
        <f aca="true" t="shared" si="42" ref="U50:U57">2*ATAN(F50/2/M50)*180/PI()</f>
        <v>3.1934127686259393</v>
      </c>
      <c r="V50" s="372">
        <f aca="true" t="shared" si="43" ref="V50:V57">(V$5*1000-M50)/M50*MAX(I50,Q50)/1000</f>
        <v>0.32879</v>
      </c>
      <c r="W50" s="187">
        <f aca="true" t="shared" si="44" ref="W50:W57">ATAN(I50/M50/1000)*180/PI()*3600</f>
        <v>2.218222019257776</v>
      </c>
      <c r="X50" s="187">
        <f aca="true" t="shared" si="45" ref="X50:X57">ATAN(Q50/M50/1000)*180/PI()*3600</f>
        <v>3.4600921244704836</v>
      </c>
      <c r="Y50" s="187">
        <f t="shared" si="32"/>
        <v>3.4600921244704836</v>
      </c>
      <c r="Z50" s="90">
        <v>0.06666666666666667</v>
      </c>
      <c r="AA50" s="94">
        <f aca="true" t="shared" si="46" ref="AA50:AA57">K50*360/U50*Z50/86400</f>
        <v>0.4509282402035371</v>
      </c>
      <c r="AB50" s="265"/>
      <c r="AC50" s="211">
        <f aca="true" t="shared" si="47" ref="AC50:AC57">AE50/I50</f>
        <v>4.322982649581148</v>
      </c>
      <c r="AD50" s="210">
        <f aca="true" t="shared" si="48" ref="AD50:AD57">AC50*I50</f>
        <v>18.59616378967199</v>
      </c>
      <c r="AE50" s="232">
        <f>$AE$5/O50</f>
        <v>18.59616378967199</v>
      </c>
      <c r="AF50" s="213">
        <f aca="true" t="shared" si="49" ref="AF50:AF57">M50^2/P50/AD50</f>
        <v>782.1750071664165</v>
      </c>
      <c r="AG50" s="227">
        <v>1</v>
      </c>
      <c r="AH50" s="238">
        <f aca="true" t="shared" si="50" ref="AH50:AH57">F50*AG50/M50</f>
        <v>0.05575</v>
      </c>
      <c r="AI50" s="240">
        <f aca="true" t="shared" si="51" ref="AI50:AI57">(AF50*AG50)/(AF50+AG50-M50/1000)</f>
        <v>0.999233496222405</v>
      </c>
      <c r="AJ50" s="240">
        <f aca="true" t="shared" si="52" ref="AJ50:AJ57">IF(AF50*AG50/(AF50-AG50+M50/1000)&lt;0,"infini",AF50*AG50/(AF50-AG50+M50/1000))</f>
        <v>1.0007676806378127</v>
      </c>
      <c r="AK50" s="353">
        <f aca="true" t="shared" si="53" ref="AK50:AK57">AJ50-AI50</f>
        <v>0.0015341844154077577</v>
      </c>
      <c r="AL50" s="216">
        <f aca="true" t="shared" si="54" ref="AL50:AL57">P50*AD50</f>
        <v>204.55780168639188</v>
      </c>
      <c r="AM50" s="216">
        <f aca="true" t="shared" si="55" ref="AM50:AM57">F50/Q50*1000</f>
        <v>3323.3979135618483</v>
      </c>
      <c r="AN50" s="216">
        <f aca="true" t="shared" si="56" ref="AN50:AN57">F50/AD50*1000</f>
        <v>1199.1720578620125</v>
      </c>
      <c r="AO50" s="213">
        <f aca="true" t="shared" si="57" ref="AO50:AO57">E50*F50/Q50^2</f>
        <v>7.379825471247622</v>
      </c>
      <c r="AP50" s="239">
        <f aca="true" t="shared" si="58" ref="AP50:AP57">E50*F50/R50^2</f>
        <v>7.379825471247622</v>
      </c>
      <c r="AQ50" s="239">
        <f aca="true" t="shared" si="59" ref="AQ50:AQ57">E50*F50/AD50^2</f>
        <v>0.9608252467676908</v>
      </c>
      <c r="AR50" s="378">
        <f aca="true" t="shared" si="60" ref="AR50:AR57">AH50*1000/(F50/R50)</f>
        <v>16.775</v>
      </c>
      <c r="AS50" s="33">
        <f aca="true" t="shared" si="61" ref="AS50:AS57">M50/P50</f>
        <v>36.36363636363637</v>
      </c>
    </row>
    <row r="51" spans="1:45" ht="12.75">
      <c r="A51" s="24"/>
      <c r="B51" s="44" t="s">
        <v>226</v>
      </c>
      <c r="C51" s="44" t="s">
        <v>227</v>
      </c>
      <c r="D51" s="183"/>
      <c r="E51" s="180">
        <v>15.6</v>
      </c>
      <c r="F51" s="182">
        <v>23.5</v>
      </c>
      <c r="G51" s="181">
        <f t="shared" si="33"/>
        <v>1.5064102564102564</v>
      </c>
      <c r="H51" s="182">
        <f t="shared" si="34"/>
        <v>28.20655952079232</v>
      </c>
      <c r="I51" s="141">
        <f t="shared" si="35"/>
        <v>3.9166666666666665</v>
      </c>
      <c r="J51" s="38">
        <f t="shared" si="36"/>
        <v>23897872.340425532</v>
      </c>
      <c r="K51" s="87">
        <v>6000</v>
      </c>
      <c r="L51" s="271"/>
      <c r="M51" s="41">
        <v>105</v>
      </c>
      <c r="N51" s="92">
        <f t="shared" si="37"/>
        <v>161.06163545879397</v>
      </c>
      <c r="O51" s="188">
        <f t="shared" si="38"/>
        <v>1.5339203377027997</v>
      </c>
      <c r="P51" s="357">
        <v>11</v>
      </c>
      <c r="Q51" s="180">
        <f t="shared" si="39"/>
        <v>6.71</v>
      </c>
      <c r="R51" s="180">
        <f t="shared" si="40"/>
        <v>6.71</v>
      </c>
      <c r="S51" s="266"/>
      <c r="T51" s="51">
        <f t="shared" si="41"/>
        <v>4.476190476190476</v>
      </c>
      <c r="U51" s="93">
        <f t="shared" si="42"/>
        <v>12.770212236701294</v>
      </c>
      <c r="V51" s="372">
        <f t="shared" si="43"/>
        <v>1.271385238095238</v>
      </c>
      <c r="W51" s="187">
        <f t="shared" si="44"/>
        <v>7.694004673902554</v>
      </c>
      <c r="X51" s="187">
        <f t="shared" si="45"/>
        <v>13.181303314609192</v>
      </c>
      <c r="Y51" s="187">
        <f t="shared" si="32"/>
        <v>13.181303314609192</v>
      </c>
      <c r="Z51" s="90">
        <v>0.016666666666666666</v>
      </c>
      <c r="AA51" s="94">
        <f t="shared" si="46"/>
        <v>0.03262801423684849</v>
      </c>
      <c r="AB51" s="265"/>
      <c r="AC51" s="211">
        <f t="shared" si="47"/>
        <v>4.9934630109645015</v>
      </c>
      <c r="AD51" s="210">
        <f t="shared" si="48"/>
        <v>19.55773012627763</v>
      </c>
      <c r="AE51" s="232">
        <f>$AE$5/O51</f>
        <v>19.55773012627763</v>
      </c>
      <c r="AF51" s="213">
        <f t="shared" si="49"/>
        <v>51.24688400961626</v>
      </c>
      <c r="AG51" s="227">
        <v>0.3</v>
      </c>
      <c r="AH51" s="238">
        <f t="shared" si="50"/>
        <v>0.06714285714285714</v>
      </c>
      <c r="AI51" s="240">
        <f t="shared" si="51"/>
        <v>0.2988627943722072</v>
      </c>
      <c r="AJ51" s="240">
        <f t="shared" si="52"/>
        <v>0.3011458930680987</v>
      </c>
      <c r="AK51" s="353">
        <f t="shared" si="53"/>
        <v>0.0022830986958914945</v>
      </c>
      <c r="AL51" s="216">
        <f t="shared" si="54"/>
        <v>215.13503138905392</v>
      </c>
      <c r="AM51" s="216">
        <f t="shared" si="55"/>
        <v>3502.2354694485844</v>
      </c>
      <c r="AN51" s="216">
        <f t="shared" si="56"/>
        <v>1201.5709312005265</v>
      </c>
      <c r="AO51" s="213">
        <f t="shared" si="57"/>
        <v>8.142306009448273</v>
      </c>
      <c r="AP51" s="239">
        <f t="shared" si="58"/>
        <v>8.142306009448273</v>
      </c>
      <c r="AQ51" s="239">
        <f t="shared" si="59"/>
        <v>0.958419326051709</v>
      </c>
      <c r="AR51" s="378">
        <f t="shared" si="60"/>
        <v>19.17142857142857</v>
      </c>
      <c r="AS51" s="33">
        <f t="shared" si="61"/>
        <v>9.545454545454545</v>
      </c>
    </row>
    <row r="52" spans="1:45" ht="12.75">
      <c r="A52" s="24"/>
      <c r="B52" s="44" t="s">
        <v>226</v>
      </c>
      <c r="C52" s="44" t="s">
        <v>227</v>
      </c>
      <c r="D52" s="183"/>
      <c r="E52" s="180">
        <v>15.6</v>
      </c>
      <c r="F52" s="182">
        <v>23.5</v>
      </c>
      <c r="G52" s="181">
        <f t="shared" si="33"/>
        <v>1.5064102564102564</v>
      </c>
      <c r="H52" s="182">
        <f t="shared" si="34"/>
        <v>28.20655952079232</v>
      </c>
      <c r="I52" s="141">
        <f t="shared" si="35"/>
        <v>3.9166666666666665</v>
      </c>
      <c r="J52" s="38">
        <f t="shared" si="36"/>
        <v>23897872.340425532</v>
      </c>
      <c r="K52" s="87">
        <v>6000</v>
      </c>
      <c r="L52" s="271"/>
      <c r="M52" s="41">
        <v>300</v>
      </c>
      <c r="N52" s="92">
        <f t="shared" si="37"/>
        <v>460.17610131083984</v>
      </c>
      <c r="O52" s="188">
        <f t="shared" si="38"/>
        <v>1.5339203377027995</v>
      </c>
      <c r="P52" s="357">
        <v>11</v>
      </c>
      <c r="Q52" s="180">
        <f t="shared" si="39"/>
        <v>6.71</v>
      </c>
      <c r="R52" s="180">
        <f t="shared" si="40"/>
        <v>6.71</v>
      </c>
      <c r="S52" s="266"/>
      <c r="T52" s="51">
        <f t="shared" si="41"/>
        <v>1.5666666666666667</v>
      </c>
      <c r="U52" s="93">
        <f t="shared" si="42"/>
        <v>4.485876513054149</v>
      </c>
      <c r="V52" s="372">
        <f t="shared" si="43"/>
        <v>0.4406233333333333</v>
      </c>
      <c r="W52" s="187">
        <f t="shared" si="44"/>
        <v>2.6929016369618695</v>
      </c>
      <c r="X52" s="187">
        <f t="shared" si="45"/>
        <v>4.613456165624068</v>
      </c>
      <c r="Y52" s="187">
        <f t="shared" si="32"/>
        <v>4.613456165624068</v>
      </c>
      <c r="Z52" s="90">
        <v>0.016666666666666666</v>
      </c>
      <c r="AA52" s="94">
        <f t="shared" si="46"/>
        <v>0.0928841142760269</v>
      </c>
      <c r="AB52" s="265"/>
      <c r="AC52" s="211">
        <f t="shared" si="47"/>
        <v>4.993463010964502</v>
      </c>
      <c r="AD52" s="210">
        <f t="shared" si="48"/>
        <v>19.557730126277633</v>
      </c>
      <c r="AE52" s="232">
        <f aca="true" t="shared" si="62" ref="AE52:AE57">$AE$5/O52</f>
        <v>19.557730126277633</v>
      </c>
      <c r="AF52" s="213">
        <f t="shared" si="49"/>
        <v>418.34191028258164</v>
      </c>
      <c r="AG52" s="227">
        <v>1.45</v>
      </c>
      <c r="AH52" s="238">
        <f t="shared" si="50"/>
        <v>0.11358333333333331</v>
      </c>
      <c r="AI52" s="240">
        <f t="shared" si="51"/>
        <v>1.4460249531418217</v>
      </c>
      <c r="AJ52" s="240">
        <f t="shared" si="52"/>
        <v>1.4539969614915842</v>
      </c>
      <c r="AK52" s="353">
        <f t="shared" si="53"/>
        <v>0.007972008349762527</v>
      </c>
      <c r="AL52" s="216">
        <f t="shared" si="54"/>
        <v>215.13503138905395</v>
      </c>
      <c r="AM52" s="216">
        <f t="shared" si="55"/>
        <v>3502.2354694485844</v>
      </c>
      <c r="AN52" s="216">
        <f t="shared" si="56"/>
        <v>1201.5709312005263</v>
      </c>
      <c r="AO52" s="213">
        <f t="shared" si="57"/>
        <v>8.142306009448273</v>
      </c>
      <c r="AP52" s="239">
        <f t="shared" si="58"/>
        <v>8.142306009448273</v>
      </c>
      <c r="AQ52" s="239">
        <f t="shared" si="59"/>
        <v>0.9584193260517085</v>
      </c>
      <c r="AR52" s="378">
        <f t="shared" si="60"/>
        <v>32.43166666666666</v>
      </c>
      <c r="AS52" s="33">
        <f t="shared" si="61"/>
        <v>27.272727272727273</v>
      </c>
    </row>
    <row r="53" spans="1:45" ht="12.75">
      <c r="A53" s="24"/>
      <c r="B53" s="44" t="s">
        <v>226</v>
      </c>
      <c r="C53" s="44" t="s">
        <v>227</v>
      </c>
      <c r="D53" s="183"/>
      <c r="E53" s="180">
        <v>15.6</v>
      </c>
      <c r="F53" s="182">
        <v>23.5</v>
      </c>
      <c r="G53" s="181">
        <f t="shared" si="33"/>
        <v>1.5064102564102564</v>
      </c>
      <c r="H53" s="182">
        <f t="shared" si="34"/>
        <v>28.20655952079232</v>
      </c>
      <c r="I53" s="141">
        <f t="shared" si="35"/>
        <v>3.9166666666666665</v>
      </c>
      <c r="J53" s="38">
        <f t="shared" si="36"/>
        <v>23897872.340425532</v>
      </c>
      <c r="K53" s="87">
        <v>6000</v>
      </c>
      <c r="L53" s="271"/>
      <c r="M53" s="41">
        <f>300*1.4</f>
        <v>420</v>
      </c>
      <c r="N53" s="92">
        <f t="shared" si="37"/>
        <v>644.2465418351759</v>
      </c>
      <c r="O53" s="188">
        <f t="shared" si="38"/>
        <v>1.5339203377027997</v>
      </c>
      <c r="P53" s="357">
        <v>11</v>
      </c>
      <c r="Q53" s="180">
        <f t="shared" si="39"/>
        <v>6.71</v>
      </c>
      <c r="R53" s="180">
        <f t="shared" si="40"/>
        <v>6.71</v>
      </c>
      <c r="S53" s="266"/>
      <c r="T53" s="51">
        <f t="shared" si="41"/>
        <v>1.119047619047619</v>
      </c>
      <c r="U53" s="93">
        <f t="shared" si="42"/>
        <v>3.204999307408046</v>
      </c>
      <c r="V53" s="372">
        <f t="shared" si="43"/>
        <v>0.31281380952380955</v>
      </c>
      <c r="W53" s="187">
        <f t="shared" si="44"/>
        <v>1.9235011693120054</v>
      </c>
      <c r="X53" s="187">
        <f t="shared" si="45"/>
        <v>3.2953258328577704</v>
      </c>
      <c r="Y53" s="187">
        <f t="shared" si="32"/>
        <v>3.2953258328577704</v>
      </c>
      <c r="Z53" s="90">
        <v>0.016666666666666666</v>
      </c>
      <c r="AA53" s="94">
        <f t="shared" si="46"/>
        <v>0.1300052283017915</v>
      </c>
      <c r="AB53" s="265"/>
      <c r="AC53" s="211">
        <f t="shared" si="47"/>
        <v>4.9934630109645015</v>
      </c>
      <c r="AD53" s="210">
        <f t="shared" si="48"/>
        <v>19.55773012627763</v>
      </c>
      <c r="AE53" s="232">
        <f t="shared" si="62"/>
        <v>19.55773012627763</v>
      </c>
      <c r="AF53" s="213">
        <f t="shared" si="49"/>
        <v>819.9501441538602</v>
      </c>
      <c r="AG53" s="227">
        <v>1.45</v>
      </c>
      <c r="AH53" s="238">
        <f t="shared" si="50"/>
        <v>0.08113095238095237</v>
      </c>
      <c r="AI53" s="240">
        <f t="shared" si="51"/>
        <v>1.448180832982825</v>
      </c>
      <c r="AJ53" s="240">
        <f t="shared" si="52"/>
        <v>1.4518237431459733</v>
      </c>
      <c r="AK53" s="353">
        <f t="shared" si="53"/>
        <v>0.0036429101631483274</v>
      </c>
      <c r="AL53" s="216">
        <f t="shared" si="54"/>
        <v>215.13503138905392</v>
      </c>
      <c r="AM53" s="216">
        <f t="shared" si="55"/>
        <v>3502.2354694485844</v>
      </c>
      <c r="AN53" s="216">
        <f t="shared" si="56"/>
        <v>1201.5709312005265</v>
      </c>
      <c r="AO53" s="213">
        <f t="shared" si="57"/>
        <v>8.142306009448273</v>
      </c>
      <c r="AP53" s="239">
        <f t="shared" si="58"/>
        <v>8.142306009448273</v>
      </c>
      <c r="AQ53" s="239">
        <f t="shared" si="59"/>
        <v>0.958419326051709</v>
      </c>
      <c r="AR53" s="378">
        <f t="shared" si="60"/>
        <v>23.16547619047619</v>
      </c>
      <c r="AS53" s="33">
        <f t="shared" si="61"/>
        <v>38.18181818181818</v>
      </c>
    </row>
    <row r="54" spans="1:45" ht="13.5" thickBot="1">
      <c r="A54" s="245"/>
      <c r="B54" s="273" t="s">
        <v>226</v>
      </c>
      <c r="C54" s="273" t="s">
        <v>227</v>
      </c>
      <c r="D54" s="274"/>
      <c r="E54" s="253">
        <v>15.6</v>
      </c>
      <c r="F54" s="275">
        <v>23.5</v>
      </c>
      <c r="G54" s="276">
        <f t="shared" si="33"/>
        <v>1.5064102564102564</v>
      </c>
      <c r="H54" s="275">
        <f t="shared" si="34"/>
        <v>28.20655952079232</v>
      </c>
      <c r="I54" s="247">
        <f t="shared" si="35"/>
        <v>3.9166666666666665</v>
      </c>
      <c r="J54" s="248">
        <f t="shared" si="36"/>
        <v>23897872.340425532</v>
      </c>
      <c r="K54" s="249">
        <v>6000</v>
      </c>
      <c r="L54" s="272"/>
      <c r="M54" s="250">
        <v>600</v>
      </c>
      <c r="N54" s="277">
        <f t="shared" si="37"/>
        <v>920.3522026216797</v>
      </c>
      <c r="O54" s="251">
        <f t="shared" si="38"/>
        <v>1.5339203377027995</v>
      </c>
      <c r="P54" s="359">
        <v>11</v>
      </c>
      <c r="Q54" s="253">
        <f t="shared" si="39"/>
        <v>6.71</v>
      </c>
      <c r="R54" s="253">
        <f t="shared" si="40"/>
        <v>6.71</v>
      </c>
      <c r="S54" s="279"/>
      <c r="T54" s="252">
        <f t="shared" si="41"/>
        <v>0.7833333333333333</v>
      </c>
      <c r="U54" s="278">
        <f t="shared" si="42"/>
        <v>2.2437978895667383</v>
      </c>
      <c r="V54" s="373">
        <f t="shared" si="43"/>
        <v>0.2169566666666667</v>
      </c>
      <c r="W54" s="254">
        <f t="shared" si="44"/>
        <v>1.3464508185383097</v>
      </c>
      <c r="X54" s="254">
        <f t="shared" si="45"/>
        <v>2.3067280831005292</v>
      </c>
      <c r="Y54" s="254">
        <f t="shared" si="32"/>
        <v>2.3067280831005292</v>
      </c>
      <c r="Z54" s="255">
        <v>0.016666666666666666</v>
      </c>
      <c r="AA54" s="280">
        <f t="shared" si="46"/>
        <v>0.18569705792312788</v>
      </c>
      <c r="AB54" s="281"/>
      <c r="AC54" s="346">
        <f t="shared" si="47"/>
        <v>4.993463010964502</v>
      </c>
      <c r="AD54" s="256">
        <f t="shared" si="48"/>
        <v>19.557730126277633</v>
      </c>
      <c r="AE54" s="257">
        <f t="shared" si="62"/>
        <v>19.557730126277633</v>
      </c>
      <c r="AF54" s="258">
        <f t="shared" si="49"/>
        <v>1673.3676411303265</v>
      </c>
      <c r="AG54" s="259">
        <v>2.8</v>
      </c>
      <c r="AH54" s="260">
        <f t="shared" si="50"/>
        <v>0.10966666666666666</v>
      </c>
      <c r="AI54" s="261">
        <f t="shared" si="51"/>
        <v>2.796323633944229</v>
      </c>
      <c r="AJ54" s="261">
        <f t="shared" si="52"/>
        <v>2.8036860455219403</v>
      </c>
      <c r="AK54" s="354">
        <f t="shared" si="53"/>
        <v>0.007362411577711558</v>
      </c>
      <c r="AL54" s="262">
        <f t="shared" si="54"/>
        <v>215.13503138905395</v>
      </c>
      <c r="AM54" s="262">
        <f t="shared" si="55"/>
        <v>3502.2354694485844</v>
      </c>
      <c r="AN54" s="262">
        <f t="shared" si="56"/>
        <v>1201.5709312005263</v>
      </c>
      <c r="AO54" s="258">
        <f t="shared" si="57"/>
        <v>8.142306009448273</v>
      </c>
      <c r="AP54" s="263">
        <f t="shared" si="58"/>
        <v>8.142306009448273</v>
      </c>
      <c r="AQ54" s="263">
        <f t="shared" si="59"/>
        <v>0.9584193260517085</v>
      </c>
      <c r="AR54" s="379">
        <f t="shared" si="60"/>
        <v>31.31333333333333</v>
      </c>
      <c r="AS54" s="246">
        <f t="shared" si="61"/>
        <v>54.54545454545455</v>
      </c>
    </row>
    <row r="55" spans="1:45" ht="13.5" thickBot="1">
      <c r="A55" s="312"/>
      <c r="B55" s="313" t="s">
        <v>280</v>
      </c>
      <c r="C55" s="313" t="s">
        <v>287</v>
      </c>
      <c r="D55" s="314"/>
      <c r="E55" s="315">
        <v>8.8</v>
      </c>
      <c r="F55" s="315">
        <v>13.2</v>
      </c>
      <c r="G55" s="316">
        <f t="shared" si="33"/>
        <v>1.4999999999999998</v>
      </c>
      <c r="H55" s="317">
        <f t="shared" si="34"/>
        <v>15.864425612041552</v>
      </c>
      <c r="I55" s="318">
        <f t="shared" si="35"/>
        <v>2.4122807017543857</v>
      </c>
      <c r="J55" s="319">
        <f t="shared" si="36"/>
        <v>19961856.000000004</v>
      </c>
      <c r="K55" s="320">
        <v>5472</v>
      </c>
      <c r="L55" s="321"/>
      <c r="M55" s="322">
        <v>220</v>
      </c>
      <c r="N55" s="323">
        <f t="shared" si="37"/>
        <v>600</v>
      </c>
      <c r="O55" s="324">
        <f t="shared" si="38"/>
        <v>2.727272727272727</v>
      </c>
      <c r="P55" s="360">
        <v>5.6</v>
      </c>
      <c r="Q55" s="326">
        <f t="shared" si="39"/>
        <v>3.416</v>
      </c>
      <c r="R55" s="326">
        <f t="shared" si="40"/>
        <v>3.416</v>
      </c>
      <c r="S55" s="327"/>
      <c r="T55" s="325">
        <f t="shared" si="41"/>
        <v>1.2</v>
      </c>
      <c r="U55" s="325">
        <f t="shared" si="42"/>
        <v>3.4367160033109143</v>
      </c>
      <c r="V55" s="374">
        <f t="shared" si="43"/>
        <v>0.3071294545454545</v>
      </c>
      <c r="W55" s="328">
        <f t="shared" si="44"/>
        <v>2.261675507004715</v>
      </c>
      <c r="X55" s="328">
        <f t="shared" si="45"/>
        <v>3.2027299003793437</v>
      </c>
      <c r="Y55" s="328">
        <f t="shared" si="32"/>
        <v>3.2027299003793437</v>
      </c>
      <c r="Z55" s="329">
        <v>0.0666666666666667</v>
      </c>
      <c r="AA55" s="330">
        <f t="shared" si="46"/>
        <v>0.4422826903752421</v>
      </c>
      <c r="AB55" s="331"/>
      <c r="AC55" s="352">
        <f t="shared" si="47"/>
        <v>4.5600000000000005</v>
      </c>
      <c r="AD55" s="332">
        <f t="shared" si="48"/>
        <v>11</v>
      </c>
      <c r="AE55" s="333">
        <f t="shared" si="62"/>
        <v>11</v>
      </c>
      <c r="AF55" s="334">
        <f t="shared" si="49"/>
        <v>785.7142857142858</v>
      </c>
      <c r="AG55" s="335">
        <v>0.8</v>
      </c>
      <c r="AH55" s="362">
        <f t="shared" si="50"/>
        <v>0.048</v>
      </c>
      <c r="AI55" s="337">
        <f t="shared" si="51"/>
        <v>0.7994098901538138</v>
      </c>
      <c r="AJ55" s="337">
        <f t="shared" si="52"/>
        <v>0.800590981706496</v>
      </c>
      <c r="AK55" s="355">
        <f t="shared" si="53"/>
        <v>0.0011810915526822008</v>
      </c>
      <c r="AL55" s="338">
        <f t="shared" si="54"/>
        <v>61.599999999999994</v>
      </c>
      <c r="AM55" s="338">
        <f t="shared" si="55"/>
        <v>3864.1686182669787</v>
      </c>
      <c r="AN55" s="338">
        <f t="shared" si="56"/>
        <v>1200</v>
      </c>
      <c r="AO55" s="334">
        <f t="shared" si="57"/>
        <v>9.954532740266222</v>
      </c>
      <c r="AP55" s="339">
        <f t="shared" si="58"/>
        <v>9.954532740266222</v>
      </c>
      <c r="AQ55" s="339">
        <f t="shared" si="59"/>
        <v>0.96</v>
      </c>
      <c r="AR55" s="380">
        <f t="shared" si="60"/>
        <v>12.421818181818182</v>
      </c>
      <c r="AS55" s="340">
        <f t="shared" si="61"/>
        <v>39.285714285714285</v>
      </c>
    </row>
    <row r="56" spans="1:45" ht="12.75">
      <c r="A56" s="283"/>
      <c r="B56" s="284" t="s">
        <v>77</v>
      </c>
      <c r="C56" s="285" t="s">
        <v>209</v>
      </c>
      <c r="D56" s="286"/>
      <c r="E56" s="287">
        <v>4.55</v>
      </c>
      <c r="F56" s="287">
        <v>6.17</v>
      </c>
      <c r="G56" s="288">
        <f t="shared" si="33"/>
        <v>1.3560439560439561</v>
      </c>
      <c r="H56" s="289">
        <f t="shared" si="34"/>
        <v>7.6662507133539535</v>
      </c>
      <c r="I56" s="290">
        <f t="shared" si="35"/>
        <v>1.5425</v>
      </c>
      <c r="J56" s="291">
        <f t="shared" si="36"/>
        <v>11799027.55267423</v>
      </c>
      <c r="K56" s="292">
        <v>4000</v>
      </c>
      <c r="L56" s="293"/>
      <c r="M56" s="294">
        <v>150.5</v>
      </c>
      <c r="N56" s="295">
        <f t="shared" si="37"/>
        <v>849.3885534092004</v>
      </c>
      <c r="O56" s="296">
        <f t="shared" si="38"/>
        <v>5.643777763516282</v>
      </c>
      <c r="P56" s="361">
        <v>5.8</v>
      </c>
      <c r="Q56" s="287">
        <f t="shared" si="39"/>
        <v>3.538</v>
      </c>
      <c r="R56" s="287">
        <f t="shared" si="40"/>
        <v>3.538</v>
      </c>
      <c r="S56" s="298"/>
      <c r="T56" s="297">
        <f t="shared" si="41"/>
        <v>0.8199335548172758</v>
      </c>
      <c r="U56" s="297">
        <f t="shared" si="42"/>
        <v>2.3486076979805355</v>
      </c>
      <c r="V56" s="375">
        <f t="shared" si="43"/>
        <v>0.46662811295681056</v>
      </c>
      <c r="W56" s="299">
        <f t="shared" si="44"/>
        <v>2.114042947674456</v>
      </c>
      <c r="X56" s="299">
        <f t="shared" si="45"/>
        <v>4.848936108756109</v>
      </c>
      <c r="Y56" s="299">
        <f t="shared" si="32"/>
        <v>4.848936108756109</v>
      </c>
      <c r="Z56" s="300">
        <v>0.0666666666666667</v>
      </c>
      <c r="AA56" s="301">
        <f t="shared" si="46"/>
        <v>0.4730935319962151</v>
      </c>
      <c r="AB56" s="302"/>
      <c r="AC56" s="350">
        <f t="shared" si="47"/>
        <v>3.4460865275601624</v>
      </c>
      <c r="AD56" s="303">
        <f t="shared" si="48"/>
        <v>5.3155884687615504</v>
      </c>
      <c r="AE56" s="304">
        <f t="shared" si="62"/>
        <v>5.3155884687615504</v>
      </c>
      <c r="AF56" s="305">
        <f t="shared" si="49"/>
        <v>734.6722832648544</v>
      </c>
      <c r="AG56" s="306">
        <v>1.4</v>
      </c>
      <c r="AH56" s="363">
        <f t="shared" si="50"/>
        <v>0.0573953488372093</v>
      </c>
      <c r="AI56" s="308">
        <f t="shared" si="51"/>
        <v>1.3976229810833436</v>
      </c>
      <c r="AJ56" s="308">
        <f t="shared" si="52"/>
        <v>1.4023851181609233</v>
      </c>
      <c r="AK56" s="356">
        <f t="shared" si="53"/>
        <v>0.0047621370775796645</v>
      </c>
      <c r="AL56" s="309">
        <f t="shared" si="54"/>
        <v>30.830413118816992</v>
      </c>
      <c r="AM56" s="309">
        <f t="shared" si="55"/>
        <v>1743.9231204070095</v>
      </c>
      <c r="AN56" s="309">
        <f t="shared" si="56"/>
        <v>1160.7369600298484</v>
      </c>
      <c r="AO56" s="305">
        <f t="shared" si="57"/>
        <v>2.242750197244741</v>
      </c>
      <c r="AP56" s="310">
        <f t="shared" si="58"/>
        <v>2.242750197244741</v>
      </c>
      <c r="AQ56" s="310">
        <f t="shared" si="59"/>
        <v>0.9935594523867052</v>
      </c>
      <c r="AR56" s="381">
        <f t="shared" si="60"/>
        <v>32.91162790697674</v>
      </c>
      <c r="AS56" s="311">
        <f t="shared" si="61"/>
        <v>25.948275862068968</v>
      </c>
    </row>
    <row r="57" spans="1:45" ht="12.75">
      <c r="A57" s="24"/>
      <c r="B57" s="179" t="s">
        <v>77</v>
      </c>
      <c r="C57" s="44" t="s">
        <v>276</v>
      </c>
      <c r="D57" s="183"/>
      <c r="E57" s="180">
        <v>4.55</v>
      </c>
      <c r="F57" s="180">
        <v>6.17</v>
      </c>
      <c r="G57" s="181">
        <f t="shared" si="33"/>
        <v>1.3560439560439561</v>
      </c>
      <c r="H57" s="182">
        <f t="shared" si="34"/>
        <v>7.6662507133539535</v>
      </c>
      <c r="I57" s="141">
        <f t="shared" si="35"/>
        <v>1.1902006172839505</v>
      </c>
      <c r="J57" s="38">
        <f t="shared" si="36"/>
        <v>19817835.46191248</v>
      </c>
      <c r="K57" s="87">
        <v>5184</v>
      </c>
      <c r="L57" s="271"/>
      <c r="M57" s="41">
        <v>172</v>
      </c>
      <c r="N57" s="42">
        <f t="shared" si="37"/>
        <v>970.7297753248005</v>
      </c>
      <c r="O57" s="188">
        <f t="shared" si="38"/>
        <v>5.643777763516282</v>
      </c>
      <c r="P57" s="357">
        <v>6.9</v>
      </c>
      <c r="Q57" s="180">
        <f t="shared" si="39"/>
        <v>4.2090000000000005</v>
      </c>
      <c r="R57" s="180">
        <f t="shared" si="40"/>
        <v>4.2090000000000005</v>
      </c>
      <c r="S57" s="186"/>
      <c r="T57" s="51">
        <f t="shared" si="41"/>
        <v>0.7174418604651163</v>
      </c>
      <c r="U57" s="51">
        <f t="shared" si="42"/>
        <v>2.0550991750919203</v>
      </c>
      <c r="V57" s="372">
        <f t="shared" si="43"/>
        <v>0.4852096046511628</v>
      </c>
      <c r="W57" s="187">
        <f t="shared" si="44"/>
        <v>1.4273052309030823</v>
      </c>
      <c r="X57" s="187">
        <f t="shared" si="45"/>
        <v>5.047491682097294</v>
      </c>
      <c r="Y57" s="187">
        <f t="shared" si="32"/>
        <v>5.047491682097294</v>
      </c>
      <c r="Z57" s="90">
        <v>0.0666666666666667</v>
      </c>
      <c r="AA57" s="91">
        <f t="shared" si="46"/>
        <v>0.7006961111429537</v>
      </c>
      <c r="AB57" s="209"/>
      <c r="AC57" s="211">
        <f t="shared" si="47"/>
        <v>4.466128139717971</v>
      </c>
      <c r="AD57" s="210">
        <f t="shared" si="48"/>
        <v>5.3155884687615504</v>
      </c>
      <c r="AE57" s="232">
        <f t="shared" si="62"/>
        <v>5.3155884687615504</v>
      </c>
      <c r="AF57" s="213">
        <f t="shared" si="49"/>
        <v>806.5967215259211</v>
      </c>
      <c r="AG57" s="227">
        <v>2</v>
      </c>
      <c r="AH57" s="238">
        <f t="shared" si="50"/>
        <v>0.07174418604651163</v>
      </c>
      <c r="AI57" s="240">
        <f t="shared" si="51"/>
        <v>1.99547762469077</v>
      </c>
      <c r="AJ57" s="240">
        <f t="shared" si="52"/>
        <v>2.0045429200989173</v>
      </c>
      <c r="AK57" s="353">
        <f t="shared" si="53"/>
        <v>0.009065295408147378</v>
      </c>
      <c r="AL57" s="216">
        <f t="shared" si="54"/>
        <v>36.6775604344547</v>
      </c>
      <c r="AM57" s="216">
        <f t="shared" si="55"/>
        <v>1465.9063910667617</v>
      </c>
      <c r="AN57" s="216">
        <f t="shared" si="56"/>
        <v>1160.7369600298484</v>
      </c>
      <c r="AO57" s="213">
        <f t="shared" si="57"/>
        <v>1.5846695365535197</v>
      </c>
      <c r="AP57" s="239">
        <f t="shared" si="58"/>
        <v>1.5846695365535197</v>
      </c>
      <c r="AQ57" s="239">
        <f t="shared" si="59"/>
        <v>0.9935594523867052</v>
      </c>
      <c r="AR57" s="378">
        <f t="shared" si="60"/>
        <v>48.941860465116285</v>
      </c>
      <c r="AS57" s="33">
        <f t="shared" si="61"/>
        <v>24.927536231884055</v>
      </c>
    </row>
    <row r="58" spans="1:45" ht="12.75">
      <c r="A58" s="183"/>
      <c r="B58" s="376" t="s">
        <v>344</v>
      </c>
      <c r="C58" s="183"/>
      <c r="D58" s="183"/>
      <c r="E58" s="186"/>
      <c r="F58" s="217"/>
      <c r="G58" s="218"/>
      <c r="H58" s="217"/>
      <c r="I58" s="219"/>
      <c r="J58" s="220"/>
      <c r="K58" s="220"/>
      <c r="L58" s="220"/>
      <c r="M58" s="221"/>
      <c r="N58" s="220"/>
      <c r="O58" s="222"/>
      <c r="P58" s="221"/>
      <c r="Q58" s="186"/>
      <c r="R58" s="186"/>
      <c r="S58" s="186"/>
      <c r="T58" s="186"/>
      <c r="U58" s="186"/>
      <c r="V58" s="186"/>
      <c r="W58" s="209"/>
      <c r="X58" s="209"/>
      <c r="Y58" s="209"/>
      <c r="Z58" s="223"/>
      <c r="AA58" s="209"/>
      <c r="AB58" s="209"/>
      <c r="AC58" s="224"/>
      <c r="AD58" s="209"/>
      <c r="AE58" s="233"/>
      <c r="AF58" s="186"/>
      <c r="AG58" s="184"/>
      <c r="AH58" s="184"/>
      <c r="AI58" s="218"/>
      <c r="AJ58" s="218"/>
      <c r="AK58" s="222"/>
      <c r="AL58" s="225"/>
      <c r="AM58" s="225"/>
      <c r="AN58" s="225"/>
      <c r="AO58" s="186"/>
      <c r="AP58" s="186"/>
      <c r="AQ58" s="186"/>
      <c r="AR58" s="186"/>
      <c r="AS58" s="186"/>
    </row>
    <row r="59" spans="1:45" ht="12.75">
      <c r="A59" s="24"/>
      <c r="B59" s="49" t="s">
        <v>204</v>
      </c>
      <c r="C59" s="49" t="s">
        <v>247</v>
      </c>
      <c r="D59" s="183"/>
      <c r="E59" s="33">
        <v>24</v>
      </c>
      <c r="F59" s="35">
        <v>35.9</v>
      </c>
      <c r="G59" s="119">
        <f>F59/E59</f>
        <v>1.4958333333333333</v>
      </c>
      <c r="H59" s="35">
        <f>SQRT(F59^2+E59^2)</f>
        <v>43.18344590233623</v>
      </c>
      <c r="I59" s="141">
        <f>F59/K59*1000</f>
        <v>5.967420212765957</v>
      </c>
      <c r="J59" s="38">
        <f>(E59*F59)/I59^2*1000000</f>
        <v>24195380.055710312</v>
      </c>
      <c r="K59" s="87">
        <v>6016</v>
      </c>
      <c r="L59" s="271"/>
      <c r="M59" s="41">
        <v>600</v>
      </c>
      <c r="N59" s="226">
        <f>M59*H$7/H59</f>
        <v>601.1555734123637</v>
      </c>
      <c r="O59" s="188">
        <f>N59/M59</f>
        <v>1.0019259556872728</v>
      </c>
      <c r="P59" s="358">
        <v>11</v>
      </c>
      <c r="Q59" s="180">
        <f>1.22*Q$5*P59</f>
        <v>6.71</v>
      </c>
      <c r="R59" s="180">
        <f>MAX(I59,Q59)</f>
        <v>6.71</v>
      </c>
      <c r="S59" s="186"/>
      <c r="T59" s="51">
        <f>T$5*F59/M59</f>
        <v>1.1966666666666668</v>
      </c>
      <c r="U59" s="51">
        <f>2*ATAN(F59/2/M59)*180/PI()</f>
        <v>3.4271752695560105</v>
      </c>
      <c r="V59" s="372">
        <f>(V$5*1000-M59)/M59*MAX(I59,Q59)/1000</f>
        <v>0.2169566666666667</v>
      </c>
      <c r="W59" s="187">
        <f>ATAN(I59/M59/1000)*180/PI()*3600</f>
        <v>2.0514479565676536</v>
      </c>
      <c r="X59" s="187">
        <f>ATAN(Q59/M59/1000)*180/PI()*3600</f>
        <v>2.3067280831005292</v>
      </c>
      <c r="Y59" s="187">
        <f>ATAN(R59/M59/1000)*180/PI()*3600</f>
        <v>2.3067280831005292</v>
      </c>
      <c r="Z59" s="90">
        <v>0.06666666666666667</v>
      </c>
      <c r="AA59" s="91">
        <f>K59*360/U59*Z59/86400</f>
        <v>0.48760596691852387</v>
      </c>
      <c r="AB59" s="209"/>
      <c r="AC59" s="211">
        <f>AE59/I59</f>
        <v>5.017634308805578</v>
      </c>
      <c r="AD59" s="210">
        <f>AC59*I59</f>
        <v>29.942332394634345</v>
      </c>
      <c r="AE59" s="232">
        <f>$AE$5/O59</f>
        <v>29.94233239463434</v>
      </c>
      <c r="AF59" s="213">
        <f>M59^2/P59/AD59</f>
        <v>1093.0101334770247</v>
      </c>
      <c r="AG59" s="227">
        <v>10</v>
      </c>
      <c r="AH59" s="238">
        <f>F59*AG59/M59</f>
        <v>0.5983333333333334</v>
      </c>
      <c r="AI59" s="215">
        <f>(AF59*AG59)/(AF59+AG59-M59/1000)</f>
        <v>9.914732278717791</v>
      </c>
      <c r="AJ59" s="215">
        <f>IF(AF59*AG59/(AF59-AG59+M59/1000)&lt;0,"infini",AF59*AG59/(AF59-AG59+M59/1000))</f>
        <v>10.086747066215022</v>
      </c>
      <c r="AK59" s="228">
        <f>AJ59-AI59</f>
        <v>0.17201478749723087</v>
      </c>
      <c r="AL59" s="216">
        <f>P59*AD59</f>
        <v>329.3656563409778</v>
      </c>
      <c r="AM59" s="216">
        <f>F59/Q59*1000</f>
        <v>5350.223546944858</v>
      </c>
      <c r="AN59" s="216">
        <f>F59/AD59*1000</f>
        <v>1198.9713936391029</v>
      </c>
      <c r="AO59" s="213">
        <f>E59*F59/Q59^2</f>
        <v>19.13641805166566</v>
      </c>
      <c r="AP59" s="239">
        <f>E59*F59/R59^2</f>
        <v>19.13641805166566</v>
      </c>
      <c r="AQ59" s="239">
        <f>E59*F59/AD59^2</f>
        <v>0.9610244475308475</v>
      </c>
      <c r="AR59" s="368">
        <f>AH59*1000/(F59/R59)</f>
        <v>111.83333333333334</v>
      </c>
      <c r="AS59" s="229">
        <f>M59/P59</f>
        <v>54.54545454545455</v>
      </c>
    </row>
    <row r="60" spans="1:45" ht="12.75">
      <c r="A60" s="24"/>
      <c r="B60" s="49" t="s">
        <v>226</v>
      </c>
      <c r="C60" s="49" t="s">
        <v>227</v>
      </c>
      <c r="D60" s="183"/>
      <c r="E60" s="212">
        <v>15.6</v>
      </c>
      <c r="F60" s="244">
        <v>23.5</v>
      </c>
      <c r="G60" s="243">
        <f>F60/E60</f>
        <v>1.5064102564102564</v>
      </c>
      <c r="H60" s="244">
        <f>SQRT(F60^2+E60^2)</f>
        <v>28.20655952079232</v>
      </c>
      <c r="I60" s="141">
        <f>F60/K60*1000</f>
        <v>3.9166666666666665</v>
      </c>
      <c r="J60" s="38">
        <f>(E60*F60)/I60^2*1000000</f>
        <v>23897872.340425532</v>
      </c>
      <c r="K60" s="87">
        <v>6000</v>
      </c>
      <c r="L60" s="271"/>
      <c r="M60" s="41">
        <v>391</v>
      </c>
      <c r="N60" s="236">
        <f>M60*H$7/H60</f>
        <v>599.7628520417946</v>
      </c>
      <c r="O60" s="188">
        <f>N60/M60</f>
        <v>1.5339203377027997</v>
      </c>
      <c r="P60" s="230">
        <v>7.1</v>
      </c>
      <c r="Q60" s="180">
        <f t="shared" si="39"/>
        <v>4.3309999999999995</v>
      </c>
      <c r="R60" s="180">
        <f>MAX(I60,Q60)</f>
        <v>4.3309999999999995</v>
      </c>
      <c r="S60" s="266"/>
      <c r="T60" s="51">
        <f>T$5*F60/M60</f>
        <v>1.2020460358056266</v>
      </c>
      <c r="U60" s="93">
        <f>2*ATAN(F60/2/M60)*180/PI()</f>
        <v>3.4425721845759583</v>
      </c>
      <c r="V60" s="372">
        <f>(V$5*1000-M60)/M60*MAX(I60,Q60)/1000</f>
        <v>0.21720352685421995</v>
      </c>
      <c r="W60" s="187">
        <f>ATAN(I60/M60/1000)*180/PI()*3600</f>
        <v>2.0661649388937082</v>
      </c>
      <c r="X60" s="187">
        <f>ATAN(Q60/M60/1000)*180/PI()*3600</f>
        <v>2.284738812837951</v>
      </c>
      <c r="Y60" s="187">
        <f t="shared" si="32"/>
        <v>2.284738812837951</v>
      </c>
      <c r="Z60" s="90">
        <v>0.016666666666666666</v>
      </c>
      <c r="AA60" s="94">
        <f>K60*360/U60*Z60/86400</f>
        <v>0.12103353083879924</v>
      </c>
      <c r="AB60" s="265"/>
      <c r="AC60" s="211">
        <f>AE60/I60</f>
        <v>4.9934630109645015</v>
      </c>
      <c r="AD60" s="210">
        <f>AC60*I60</f>
        <v>19.55773012627763</v>
      </c>
      <c r="AE60" s="232">
        <f>$AE$5/O60</f>
        <v>19.55773012627763</v>
      </c>
      <c r="AF60" s="213">
        <f>M60^2/P60/AD60</f>
        <v>1100.9731227621678</v>
      </c>
      <c r="AG60" s="227">
        <v>10</v>
      </c>
      <c r="AH60" s="238">
        <f>F60*AG60/M60</f>
        <v>0.6010230179028133</v>
      </c>
      <c r="AI60" s="240">
        <f>(AF60*AG60)/(AF60+AG60-M60/1000)</f>
        <v>9.91347780769151</v>
      </c>
      <c r="AJ60" s="240">
        <f>IF(AF60*AG60/(AF60-AG60+M60/1000)&lt;0,"infini",AF60*AG60/(AF60-AG60+M60/1000))</f>
        <v>10.088045775003856</v>
      </c>
      <c r="AK60" s="353">
        <f>AJ60-AI60</f>
        <v>0.17456796731234547</v>
      </c>
      <c r="AL60" s="216">
        <f>P60*AD60</f>
        <v>138.85988389657118</v>
      </c>
      <c r="AM60" s="216">
        <f>F60/Q60*1000</f>
        <v>5425.998614638652</v>
      </c>
      <c r="AN60" s="216">
        <f>F60/AD60*1000</f>
        <v>1201.5709312005265</v>
      </c>
      <c r="AO60" s="213">
        <f>E60*F60/Q60^2</f>
        <v>19.544118768959358</v>
      </c>
      <c r="AP60" s="239">
        <f>E60*F60/R60^2</f>
        <v>19.544118768959358</v>
      </c>
      <c r="AQ60" s="239">
        <f>E60*F60/AD60^2</f>
        <v>0.958419326051709</v>
      </c>
      <c r="AR60" s="368">
        <f>AH60*1000/(F60/R60)</f>
        <v>110.76726342710997</v>
      </c>
      <c r="AS60" s="229">
        <f>M60/P60</f>
        <v>55.07042253521127</v>
      </c>
    </row>
    <row r="61" spans="1:45" ht="12.75">
      <c r="A61" s="24"/>
      <c r="B61" s="178" t="s">
        <v>280</v>
      </c>
      <c r="C61" s="178" t="s">
        <v>287</v>
      </c>
      <c r="D61" s="269"/>
      <c r="E61" s="33">
        <v>8.8</v>
      </c>
      <c r="F61" s="33">
        <v>13.2</v>
      </c>
      <c r="G61" s="119">
        <f>F61/E61</f>
        <v>1.4999999999999998</v>
      </c>
      <c r="H61" s="35">
        <f>SQRT(F61^2+E61^2)</f>
        <v>15.864425612041552</v>
      </c>
      <c r="I61" s="141">
        <f>F61/K61*1000</f>
        <v>2.4122807017543857</v>
      </c>
      <c r="J61" s="38">
        <f>(E61*F61)/I61^2*1000000</f>
        <v>19961856.000000004</v>
      </c>
      <c r="K61" s="87">
        <v>5472</v>
      </c>
      <c r="L61" s="271"/>
      <c r="M61" s="41">
        <v>220</v>
      </c>
      <c r="N61" s="226">
        <f>M61*H$7/H61</f>
        <v>600</v>
      </c>
      <c r="O61" s="188">
        <f>N61/M61</f>
        <v>2.727272727272727</v>
      </c>
      <c r="P61" s="358">
        <v>4</v>
      </c>
      <c r="Q61" s="180">
        <f t="shared" si="39"/>
        <v>2.44</v>
      </c>
      <c r="R61" s="180">
        <f>MAX(I61,Q61)</f>
        <v>2.44</v>
      </c>
      <c r="S61" s="186"/>
      <c r="T61" s="51">
        <f>T$5*F61/M61</f>
        <v>1.2</v>
      </c>
      <c r="U61" s="51">
        <f>2*ATAN(F61/2/M61)*180/PI()</f>
        <v>3.4367160033109143</v>
      </c>
      <c r="V61" s="372">
        <f>(V$5*1000-M61)/M61*MAX(I61,Q61)/1000</f>
        <v>0.2193781818181818</v>
      </c>
      <c r="W61" s="187">
        <f>ATAN(I61/M61/1000)*180/PI()*3600</f>
        <v>2.261675507004715</v>
      </c>
      <c r="X61" s="187">
        <f>ATAN(Q61/M61/1000)*180/PI()*3600</f>
        <v>2.287664214646722</v>
      </c>
      <c r="Y61" s="187">
        <f t="shared" si="32"/>
        <v>2.287664214646722</v>
      </c>
      <c r="Z61" s="90">
        <v>0.0666666666666667</v>
      </c>
      <c r="AA61" s="91">
        <f>K61*360/U61*Z61/86400</f>
        <v>0.4422826903752421</v>
      </c>
      <c r="AB61" s="209"/>
      <c r="AC61" s="211">
        <f>AE61/I61</f>
        <v>4.5600000000000005</v>
      </c>
      <c r="AD61" s="210">
        <f>AC61*I61</f>
        <v>11</v>
      </c>
      <c r="AE61" s="232">
        <f>$AE$5/O61</f>
        <v>11</v>
      </c>
      <c r="AF61" s="213">
        <f>M61^2/P61/AD61</f>
        <v>1100</v>
      </c>
      <c r="AG61" s="227">
        <v>10</v>
      </c>
      <c r="AH61" s="238">
        <f>F61*AG61/M61</f>
        <v>0.6</v>
      </c>
      <c r="AI61" s="240">
        <f>(AF61*AG61)/(AF61+AG61-M61/1000)</f>
        <v>9.911874425561823</v>
      </c>
      <c r="AJ61" s="240">
        <f>IF(AF61*AG61/(AF61-AG61+M61/1000)&lt;0,"infini",AF61*AG61/(AF61-AG61+M61/1000))</f>
        <v>10.089706664709874</v>
      </c>
      <c r="AK61" s="353">
        <f>AJ61-AI61</f>
        <v>0.17783223914805113</v>
      </c>
      <c r="AL61" s="216">
        <f>P61*AD61</f>
        <v>44</v>
      </c>
      <c r="AM61" s="216">
        <f>F61/Q61*1000</f>
        <v>5409.836065573771</v>
      </c>
      <c r="AN61" s="216">
        <f>F61/AD61*1000</f>
        <v>1200</v>
      </c>
      <c r="AO61" s="213">
        <f>E61*F61/Q61^2</f>
        <v>19.510884170921795</v>
      </c>
      <c r="AP61" s="239">
        <f>E61*F61/R61^2</f>
        <v>19.510884170921795</v>
      </c>
      <c r="AQ61" s="239">
        <f>E61*F61/AD61^2</f>
        <v>0.96</v>
      </c>
      <c r="AR61" s="368">
        <f>AH61*1000/(F61/R61)</f>
        <v>110.9090909090909</v>
      </c>
      <c r="AS61" s="229">
        <f>M61/P61</f>
        <v>55</v>
      </c>
    </row>
    <row r="62" spans="1:45" ht="12.75">
      <c r="A62" s="183"/>
      <c r="B62" s="183" t="s">
        <v>345</v>
      </c>
      <c r="C62" s="183"/>
      <c r="D62" s="183"/>
      <c r="E62" s="186"/>
      <c r="F62" s="217"/>
      <c r="G62" s="218"/>
      <c r="H62" s="217"/>
      <c r="I62" s="219"/>
      <c r="J62" s="220"/>
      <c r="K62" s="220"/>
      <c r="L62" s="220"/>
      <c r="M62" s="221"/>
      <c r="N62" s="220"/>
      <c r="O62" s="222"/>
      <c r="P62" s="221"/>
      <c r="Q62" s="186"/>
      <c r="R62" s="186"/>
      <c r="S62" s="186"/>
      <c r="T62" s="186"/>
      <c r="U62" s="186"/>
      <c r="V62" s="186"/>
      <c r="W62" s="209"/>
      <c r="X62" s="209"/>
      <c r="Y62" s="209"/>
      <c r="Z62" s="223"/>
      <c r="AA62" s="209"/>
      <c r="AB62" s="209"/>
      <c r="AC62" s="224"/>
      <c r="AD62" s="209"/>
      <c r="AE62" s="233"/>
      <c r="AF62" s="186"/>
      <c r="AG62" s="184"/>
      <c r="AH62" s="184"/>
      <c r="AI62" s="218"/>
      <c r="AJ62" s="218"/>
      <c r="AK62" s="218"/>
      <c r="AL62" s="225"/>
      <c r="AM62" s="225"/>
      <c r="AN62" s="225"/>
      <c r="AO62" s="186"/>
      <c r="AP62" s="186"/>
      <c r="AQ62" s="186"/>
      <c r="AR62" s="186"/>
      <c r="AS62" s="186"/>
    </row>
    <row r="63" spans="1:45" ht="12.75">
      <c r="A63" s="24"/>
      <c r="B63" s="24" t="s">
        <v>205</v>
      </c>
      <c r="C63" s="24"/>
      <c r="D63" s="183"/>
      <c r="E63" s="33">
        <v>14.9</v>
      </c>
      <c r="F63" s="35">
        <v>22.3</v>
      </c>
      <c r="G63" s="119">
        <f aca="true" t="shared" si="63" ref="G63:G69">F63/E63</f>
        <v>1.4966442953020134</v>
      </c>
      <c r="H63" s="35">
        <f aca="true" t="shared" si="64" ref="H63:H69">SQRT(F63^2+E63^2)</f>
        <v>26.819768828235638</v>
      </c>
      <c r="I63" s="141">
        <f aca="true" t="shared" si="65" ref="I63:I69">F63/K63*1000</f>
        <v>4.301697530864198</v>
      </c>
      <c r="J63" s="38">
        <f aca="true" t="shared" si="66" ref="J63:J69">(E63*F63)/I63^2*1000000</f>
        <v>17956074.188340805</v>
      </c>
      <c r="K63" s="87">
        <v>5184</v>
      </c>
      <c r="L63" s="271"/>
      <c r="M63" s="41">
        <v>400</v>
      </c>
      <c r="N63" s="92">
        <f aca="true" t="shared" si="67" ref="N63:N69">M63*H$7/H63</f>
        <v>645.2943809122937</v>
      </c>
      <c r="O63" s="188">
        <f aca="true" t="shared" si="68" ref="O63:O69">N63/M63</f>
        <v>1.6132359522807342</v>
      </c>
      <c r="P63" s="357">
        <v>5.6</v>
      </c>
      <c r="Q63" s="180">
        <f t="shared" si="39"/>
        <v>3.416</v>
      </c>
      <c r="R63" s="180">
        <f aca="true" t="shared" si="69" ref="R63:R69">MAX(I63,Q63)</f>
        <v>4.301697530864198</v>
      </c>
      <c r="S63" s="266"/>
      <c r="T63" s="51">
        <f aca="true" t="shared" si="70" ref="T63:T69">T$5*F63/M63</f>
        <v>1.115</v>
      </c>
      <c r="U63" s="93">
        <f aca="true" t="shared" si="71" ref="U63:U69">2*ATAN(F63/2/M63)*180/PI()</f>
        <v>3.1934127686259393</v>
      </c>
      <c r="V63" s="229">
        <f aca="true" t="shared" si="72" ref="V63:V69">(V$5*1000-M63)/M63*MAX(I63,Q63)/1000</f>
        <v>0.2107831790123457</v>
      </c>
      <c r="W63" s="187">
        <f aca="true" t="shared" si="73" ref="W63:W69">ATAN(I63/M63/1000)*180/PI()*3600</f>
        <v>2.218222019257776</v>
      </c>
      <c r="X63" s="187">
        <f aca="true" t="shared" si="74" ref="X63:X69">ATAN(Q63/M63/1000)*180/PI()*3600</f>
        <v>1.76150144530738</v>
      </c>
      <c r="Y63" s="187">
        <f t="shared" si="32"/>
        <v>2.218222019257776</v>
      </c>
      <c r="Z63" s="90">
        <v>0.06666666666666667</v>
      </c>
      <c r="AA63" s="94">
        <f aca="true" t="shared" si="75" ref="AA63:AA69">K63*360/U63*Z63/86400</f>
        <v>0.4509282402035371</v>
      </c>
      <c r="AB63" s="265"/>
      <c r="AC63" s="211">
        <f aca="true" t="shared" si="76" ref="AC63:AC69">AE63/I63</f>
        <v>4.322982649581148</v>
      </c>
      <c r="AD63" s="210">
        <f aca="true" t="shared" si="77" ref="AD63:AD69">AC63*I63</f>
        <v>18.59616378967199</v>
      </c>
      <c r="AE63" s="232">
        <f aca="true" t="shared" si="78" ref="AE63:AE69">$AE$5/O63</f>
        <v>18.59616378967199</v>
      </c>
      <c r="AF63" s="213">
        <f aca="true" t="shared" si="79" ref="AF63:AF69">M63^2/P63/AD63</f>
        <v>1536.4151926483182</v>
      </c>
      <c r="AG63" s="214">
        <v>1</v>
      </c>
      <c r="AH63" s="237">
        <f aca="true" t="shared" si="80" ref="AH63:AH69">F63*AG63/M63</f>
        <v>0.05575</v>
      </c>
      <c r="AI63" s="240">
        <f aca="true" t="shared" si="81" ref="AI63:AI69">(AF63*AG63)/(AF63+AG63-M63/1000)</f>
        <v>0.9996096330063166</v>
      </c>
      <c r="AJ63" s="240">
        <f aca="true" t="shared" si="82" ref="AJ63:AJ69">IF(AF63*AG63/(AF63-AG63+M63/1000)&lt;0,"infini",AF63*AG63/(AF63-AG63+M63/1000))</f>
        <v>1.0003906720045954</v>
      </c>
      <c r="AK63" s="240">
        <f aca="true" t="shared" si="83" ref="AK63:AK69">AJ63-AI63</f>
        <v>0.0007810389982788601</v>
      </c>
      <c r="AL63" s="216">
        <f aca="true" t="shared" si="84" ref="AL63:AL69">P63*AD63</f>
        <v>104.13851722216314</v>
      </c>
      <c r="AM63" s="216">
        <f aca="true" t="shared" si="85" ref="AM63:AM69">F63/Q63*1000</f>
        <v>6528.103044496487</v>
      </c>
      <c r="AN63" s="216">
        <f aca="true" t="shared" si="86" ref="AN63:AN69">F63/AD63*1000</f>
        <v>1199.1720578620125</v>
      </c>
      <c r="AO63" s="213">
        <f aca="true" t="shared" si="87" ref="AO63:AO69">E63*F63/Q63^2</f>
        <v>28.474454146076603</v>
      </c>
      <c r="AP63" s="229">
        <f aca="true" t="shared" si="88" ref="AP63:AP69">E63*F63/R63^2</f>
        <v>17.956074188340807</v>
      </c>
      <c r="AQ63" s="213">
        <f aca="true" t="shared" si="89" ref="AQ63:AQ69">E63*F63/AD63^2</f>
        <v>0.9608252467676908</v>
      </c>
      <c r="AR63" s="368">
        <f aca="true" t="shared" si="90" ref="AR63:AR69">AH63*1000/(F63/R63)</f>
        <v>10.754243827160494</v>
      </c>
      <c r="AS63" s="33">
        <f aca="true" t="shared" si="91" ref="AS63:AS69">M63/P63</f>
        <v>71.42857142857143</v>
      </c>
    </row>
    <row r="64" spans="1:45" ht="13.5" thickBot="1">
      <c r="A64" s="245"/>
      <c r="B64" s="273" t="s">
        <v>226</v>
      </c>
      <c r="C64" s="273" t="s">
        <v>227</v>
      </c>
      <c r="D64" s="274"/>
      <c r="E64" s="253">
        <v>15.6</v>
      </c>
      <c r="F64" s="275">
        <v>23.5</v>
      </c>
      <c r="G64" s="276">
        <f t="shared" si="63"/>
        <v>1.5064102564102564</v>
      </c>
      <c r="H64" s="275">
        <f t="shared" si="64"/>
        <v>28.20655952079232</v>
      </c>
      <c r="I64" s="247">
        <f t="shared" si="65"/>
        <v>3.9166666666666665</v>
      </c>
      <c r="J64" s="248">
        <f t="shared" si="66"/>
        <v>23897872.340425532</v>
      </c>
      <c r="K64" s="249">
        <v>6000</v>
      </c>
      <c r="L64" s="272"/>
      <c r="M64" s="250">
        <v>600</v>
      </c>
      <c r="N64" s="277">
        <f t="shared" si="67"/>
        <v>920.3522026216797</v>
      </c>
      <c r="O64" s="251">
        <f t="shared" si="68"/>
        <v>1.5339203377027995</v>
      </c>
      <c r="P64" s="359">
        <v>8</v>
      </c>
      <c r="Q64" s="253">
        <f t="shared" si="39"/>
        <v>4.88</v>
      </c>
      <c r="R64" s="253">
        <f t="shared" si="69"/>
        <v>4.88</v>
      </c>
      <c r="S64" s="279"/>
      <c r="T64" s="252">
        <f t="shared" si="70"/>
        <v>0.7833333333333333</v>
      </c>
      <c r="U64" s="278">
        <f t="shared" si="71"/>
        <v>2.2437978895667383</v>
      </c>
      <c r="V64" s="264">
        <f t="shared" si="72"/>
        <v>0.15778666666666666</v>
      </c>
      <c r="W64" s="254">
        <f t="shared" si="73"/>
        <v>1.3464508185383097</v>
      </c>
      <c r="X64" s="254">
        <f t="shared" si="74"/>
        <v>1.6776204241060582</v>
      </c>
      <c r="Y64" s="254">
        <f t="shared" si="32"/>
        <v>1.6776204241060582</v>
      </c>
      <c r="Z64" s="255">
        <v>0.016666666666666666</v>
      </c>
      <c r="AA64" s="280">
        <f t="shared" si="75"/>
        <v>0.18569705792312788</v>
      </c>
      <c r="AB64" s="281"/>
      <c r="AC64" s="346">
        <f t="shared" si="76"/>
        <v>4.993463010964502</v>
      </c>
      <c r="AD64" s="256">
        <f t="shared" si="77"/>
        <v>19.557730126277633</v>
      </c>
      <c r="AE64" s="257">
        <f t="shared" si="78"/>
        <v>19.557730126277633</v>
      </c>
      <c r="AF64" s="258">
        <f t="shared" si="79"/>
        <v>2300.880506554199</v>
      </c>
      <c r="AG64" s="341">
        <v>2.8</v>
      </c>
      <c r="AH64" s="282">
        <f t="shared" si="80"/>
        <v>0.10966666666666666</v>
      </c>
      <c r="AI64" s="261">
        <f t="shared" si="81"/>
        <v>2.7973253214629406</v>
      </c>
      <c r="AJ64" s="261">
        <f t="shared" si="82"/>
        <v>2.802679798250534</v>
      </c>
      <c r="AK64" s="261">
        <f t="shared" si="83"/>
        <v>0.005354476787593487</v>
      </c>
      <c r="AL64" s="262">
        <f t="shared" si="84"/>
        <v>156.46184101022106</v>
      </c>
      <c r="AM64" s="262">
        <f t="shared" si="85"/>
        <v>4815.573770491804</v>
      </c>
      <c r="AN64" s="262">
        <f t="shared" si="86"/>
        <v>1201.5709312005263</v>
      </c>
      <c r="AO64" s="258">
        <f t="shared" si="87"/>
        <v>15.39404729911314</v>
      </c>
      <c r="AP64" s="264">
        <f t="shared" si="88"/>
        <v>15.39404729911314</v>
      </c>
      <c r="AQ64" s="258">
        <f t="shared" si="89"/>
        <v>0.9584193260517085</v>
      </c>
      <c r="AR64" s="369">
        <f t="shared" si="90"/>
        <v>22.77333333333333</v>
      </c>
      <c r="AS64" s="246">
        <f t="shared" si="91"/>
        <v>75</v>
      </c>
    </row>
    <row r="65" spans="1:45" ht="13.5" thickBot="1">
      <c r="A65" s="312"/>
      <c r="B65" s="382" t="s">
        <v>280</v>
      </c>
      <c r="C65" s="382" t="s">
        <v>287</v>
      </c>
      <c r="D65" s="382"/>
      <c r="E65" s="326">
        <v>8.8</v>
      </c>
      <c r="F65" s="326">
        <v>13.2</v>
      </c>
      <c r="G65" s="383">
        <f t="shared" si="63"/>
        <v>1.4999999999999998</v>
      </c>
      <c r="H65" s="384">
        <f t="shared" si="64"/>
        <v>15.864425612041552</v>
      </c>
      <c r="I65" s="318">
        <f t="shared" si="65"/>
        <v>2.4122807017543857</v>
      </c>
      <c r="J65" s="319">
        <f t="shared" si="66"/>
        <v>19961856.000000004</v>
      </c>
      <c r="K65" s="320">
        <v>5472</v>
      </c>
      <c r="L65" s="321"/>
      <c r="M65" s="322">
        <v>220</v>
      </c>
      <c r="N65" s="323">
        <f t="shared" si="67"/>
        <v>600</v>
      </c>
      <c r="O65" s="324">
        <f t="shared" si="68"/>
        <v>2.727272727272727</v>
      </c>
      <c r="P65" s="360">
        <v>5.6</v>
      </c>
      <c r="Q65" s="326">
        <f t="shared" si="39"/>
        <v>3.416</v>
      </c>
      <c r="R65" s="326">
        <f t="shared" si="69"/>
        <v>3.416</v>
      </c>
      <c r="S65" s="327"/>
      <c r="T65" s="325">
        <f t="shared" si="70"/>
        <v>1.2</v>
      </c>
      <c r="U65" s="325">
        <f t="shared" si="71"/>
        <v>3.4367160033109143</v>
      </c>
      <c r="V65" s="344">
        <f t="shared" si="72"/>
        <v>0.3071294545454545</v>
      </c>
      <c r="W65" s="328">
        <f t="shared" si="73"/>
        <v>2.261675507004715</v>
      </c>
      <c r="X65" s="328">
        <f t="shared" si="74"/>
        <v>3.2027299003793437</v>
      </c>
      <c r="Y65" s="328">
        <f t="shared" si="32"/>
        <v>3.2027299003793437</v>
      </c>
      <c r="Z65" s="329">
        <v>0.0666666666666667</v>
      </c>
      <c r="AA65" s="330">
        <f t="shared" si="75"/>
        <v>0.4422826903752421</v>
      </c>
      <c r="AB65" s="331"/>
      <c r="AC65" s="352">
        <f t="shared" si="76"/>
        <v>4.5600000000000005</v>
      </c>
      <c r="AD65" s="332">
        <f t="shared" si="77"/>
        <v>11</v>
      </c>
      <c r="AE65" s="333">
        <f t="shared" si="78"/>
        <v>11</v>
      </c>
      <c r="AF65" s="334">
        <f t="shared" si="79"/>
        <v>785.7142857142858</v>
      </c>
      <c r="AG65" s="345">
        <v>0.8</v>
      </c>
      <c r="AH65" s="336">
        <f t="shared" si="80"/>
        <v>0.048</v>
      </c>
      <c r="AI65" s="337">
        <f t="shared" si="81"/>
        <v>0.7994098901538138</v>
      </c>
      <c r="AJ65" s="337">
        <f t="shared" si="82"/>
        <v>0.800590981706496</v>
      </c>
      <c r="AK65" s="337">
        <f t="shared" si="83"/>
        <v>0.0011810915526822008</v>
      </c>
      <c r="AL65" s="338">
        <f t="shared" si="84"/>
        <v>61.599999999999994</v>
      </c>
      <c r="AM65" s="338">
        <f t="shared" si="85"/>
        <v>3864.1686182669787</v>
      </c>
      <c r="AN65" s="338">
        <f t="shared" si="86"/>
        <v>1200</v>
      </c>
      <c r="AO65" s="334">
        <f t="shared" si="87"/>
        <v>9.954532740266222</v>
      </c>
      <c r="AP65" s="344">
        <f t="shared" si="88"/>
        <v>9.954532740266222</v>
      </c>
      <c r="AQ65" s="334">
        <f t="shared" si="89"/>
        <v>0.96</v>
      </c>
      <c r="AR65" s="377">
        <f t="shared" si="90"/>
        <v>12.421818181818182</v>
      </c>
      <c r="AS65" s="340">
        <f t="shared" si="91"/>
        <v>39.285714285714285</v>
      </c>
    </row>
    <row r="66" spans="1:45" ht="12.75">
      <c r="A66" s="283"/>
      <c r="B66" s="347" t="s">
        <v>77</v>
      </c>
      <c r="C66" s="283" t="s">
        <v>278</v>
      </c>
      <c r="D66" s="286"/>
      <c r="E66" s="311">
        <v>4.55</v>
      </c>
      <c r="F66" s="311">
        <v>6.17</v>
      </c>
      <c r="G66" s="348">
        <f>F66/E66</f>
        <v>1.3560439560439561</v>
      </c>
      <c r="H66" s="349">
        <f>SQRT(F66^2+E66^2)</f>
        <v>7.6662507133539535</v>
      </c>
      <c r="I66" s="364">
        <v>1.48</v>
      </c>
      <c r="J66" s="291">
        <f>(E66*F66)/I66^2*1000000</f>
        <v>12816608.838568298</v>
      </c>
      <c r="K66" s="291">
        <f>F66/I66*1000</f>
        <v>4168.918918918919</v>
      </c>
      <c r="L66" s="365"/>
      <c r="M66" s="294">
        <v>108</v>
      </c>
      <c r="N66" s="295">
        <f>M66*H$7/H66</f>
        <v>609.5279984597584</v>
      </c>
      <c r="O66" s="296">
        <f>N66/M66</f>
        <v>5.643777763516281</v>
      </c>
      <c r="P66" s="361">
        <v>2.8</v>
      </c>
      <c r="Q66" s="287">
        <f>1.22*Q$5*P66</f>
        <v>1.708</v>
      </c>
      <c r="R66" s="287">
        <f t="shared" si="69"/>
        <v>1.708</v>
      </c>
      <c r="S66" s="298"/>
      <c r="T66" s="297">
        <f t="shared" si="70"/>
        <v>1.1425925925925926</v>
      </c>
      <c r="U66" s="297">
        <f t="shared" si="71"/>
        <v>3.2723968205825544</v>
      </c>
      <c r="V66" s="342">
        <f t="shared" si="72"/>
        <v>0.31458829629629625</v>
      </c>
      <c r="W66" s="299">
        <f>ATAN(I66/M66/1000)*180/PI()*3600</f>
        <v>2.826591789135125</v>
      </c>
      <c r="X66" s="299">
        <f t="shared" si="74"/>
        <v>3.2620397133395325</v>
      </c>
      <c r="Y66" s="299">
        <f t="shared" si="32"/>
        <v>3.2620397133395325</v>
      </c>
      <c r="Z66" s="300">
        <v>0.0666666666666667</v>
      </c>
      <c r="AA66" s="301">
        <f t="shared" si="75"/>
        <v>0.353879158465531</v>
      </c>
      <c r="AB66" s="302"/>
      <c r="AC66" s="350">
        <f t="shared" si="76"/>
        <v>3.591613830244291</v>
      </c>
      <c r="AD66" s="303">
        <f t="shared" si="77"/>
        <v>5.3155884687615504</v>
      </c>
      <c r="AE66" s="304">
        <f t="shared" si="78"/>
        <v>5.3155884687615504</v>
      </c>
      <c r="AF66" s="305">
        <f t="shared" si="79"/>
        <v>783.6788551625466</v>
      </c>
      <c r="AG66" s="343">
        <v>2</v>
      </c>
      <c r="AH66" s="307">
        <f t="shared" si="80"/>
        <v>0.11425925925925925</v>
      </c>
      <c r="AI66" s="351">
        <f t="shared" si="81"/>
        <v>1.995183120688436</v>
      </c>
      <c r="AJ66" s="351">
        <f t="shared" si="82"/>
        <v>2.004840193941625</v>
      </c>
      <c r="AK66" s="351">
        <f>AJ66-AI66</f>
        <v>0.009657073253189097</v>
      </c>
      <c r="AL66" s="309">
        <f t="shared" si="84"/>
        <v>14.88364771253234</v>
      </c>
      <c r="AM66" s="309">
        <f t="shared" si="85"/>
        <v>3612.412177985949</v>
      </c>
      <c r="AN66" s="309">
        <f t="shared" si="86"/>
        <v>1160.7369600298484</v>
      </c>
      <c r="AO66" s="305">
        <f t="shared" si="87"/>
        <v>9.623229162667485</v>
      </c>
      <c r="AP66" s="342">
        <f t="shared" si="88"/>
        <v>9.623229162667485</v>
      </c>
      <c r="AQ66" s="305">
        <f t="shared" si="89"/>
        <v>0.9935594523867052</v>
      </c>
      <c r="AR66" s="370">
        <f t="shared" si="90"/>
        <v>31.629629629629626</v>
      </c>
      <c r="AS66" s="311">
        <f t="shared" si="91"/>
        <v>38.57142857142858</v>
      </c>
    </row>
    <row r="67" spans="1:45" ht="12.75">
      <c r="A67" s="24"/>
      <c r="B67" s="34" t="s">
        <v>77</v>
      </c>
      <c r="C67" s="24" t="s">
        <v>272</v>
      </c>
      <c r="D67" s="183"/>
      <c r="E67" s="33">
        <v>4.55</v>
      </c>
      <c r="F67" s="33">
        <v>6.17</v>
      </c>
      <c r="G67" s="119">
        <f t="shared" si="63"/>
        <v>1.3560439560439561</v>
      </c>
      <c r="H67" s="35">
        <f t="shared" si="64"/>
        <v>7.6662507133539535</v>
      </c>
      <c r="I67" s="141">
        <f>F67/K67*1000</f>
        <v>1.3389756944444444</v>
      </c>
      <c r="J67" s="38">
        <f t="shared" si="66"/>
        <v>15658536.661264181</v>
      </c>
      <c r="K67" s="87">
        <v>4608</v>
      </c>
      <c r="L67" s="271"/>
      <c r="M67" s="41">
        <v>357</v>
      </c>
      <c r="N67" s="226">
        <f t="shared" si="67"/>
        <v>2014.8286615753125</v>
      </c>
      <c r="O67" s="188">
        <f t="shared" si="68"/>
        <v>5.643777763516281</v>
      </c>
      <c r="P67" s="357">
        <v>6.5</v>
      </c>
      <c r="Q67" s="180">
        <f t="shared" si="39"/>
        <v>3.965</v>
      </c>
      <c r="R67" s="180">
        <f t="shared" si="69"/>
        <v>3.965</v>
      </c>
      <c r="S67" s="186"/>
      <c r="T67" s="51">
        <f t="shared" si="70"/>
        <v>0.3456582633053221</v>
      </c>
      <c r="U67" s="51">
        <f t="shared" si="71"/>
        <v>0.9902133345666838</v>
      </c>
      <c r="V67" s="229">
        <f t="shared" si="72"/>
        <v>0.21816385154061624</v>
      </c>
      <c r="W67" s="187">
        <f t="shared" si="73"/>
        <v>0.7736234234813995</v>
      </c>
      <c r="X67" s="187">
        <f t="shared" si="74"/>
        <v>2.290868226151567</v>
      </c>
      <c r="Y67" s="187">
        <f t="shared" si="32"/>
        <v>2.290868226151567</v>
      </c>
      <c r="Z67" s="90">
        <v>0.0666666666666667</v>
      </c>
      <c r="AA67" s="91">
        <f t="shared" si="75"/>
        <v>1.2926507403176175</v>
      </c>
      <c r="AB67" s="209"/>
      <c r="AC67" s="211">
        <f t="shared" si="76"/>
        <v>3.969891679749307</v>
      </c>
      <c r="AD67" s="210">
        <f t="shared" si="77"/>
        <v>5.3155884687615504</v>
      </c>
      <c r="AE67" s="232">
        <f t="shared" si="78"/>
        <v>5.3155884687615504</v>
      </c>
      <c r="AF67" s="213">
        <f t="shared" si="79"/>
        <v>3688.686318884034</v>
      </c>
      <c r="AG67" s="214">
        <v>2</v>
      </c>
      <c r="AH67" s="237">
        <f t="shared" si="80"/>
        <v>0.034565826330532214</v>
      </c>
      <c r="AI67" s="215">
        <f t="shared" si="81"/>
        <v>1.999109564562928</v>
      </c>
      <c r="AJ67" s="215">
        <f t="shared" si="82"/>
        <v>2.000891229018973</v>
      </c>
      <c r="AK67" s="215">
        <f t="shared" si="83"/>
        <v>0.0017816644560448847</v>
      </c>
      <c r="AL67" s="216">
        <f t="shared" si="84"/>
        <v>34.551325046950076</v>
      </c>
      <c r="AM67" s="216">
        <f t="shared" si="85"/>
        <v>1556.1160151324086</v>
      </c>
      <c r="AN67" s="216">
        <f t="shared" si="86"/>
        <v>1160.7369600298484</v>
      </c>
      <c r="AO67" s="213">
        <f t="shared" si="87"/>
        <v>1.7857069026109607</v>
      </c>
      <c r="AP67" s="229">
        <f t="shared" si="88"/>
        <v>1.7857069026109607</v>
      </c>
      <c r="AQ67" s="213">
        <f t="shared" si="89"/>
        <v>0.9935594523867052</v>
      </c>
      <c r="AR67" s="368">
        <f t="shared" si="90"/>
        <v>22.21288515406162</v>
      </c>
      <c r="AS67" s="33">
        <f t="shared" si="91"/>
        <v>54.92307692307692</v>
      </c>
    </row>
    <row r="68" spans="1:45" ht="12.75">
      <c r="A68" s="24"/>
      <c r="B68" s="179" t="s">
        <v>77</v>
      </c>
      <c r="C68" s="44" t="s">
        <v>209</v>
      </c>
      <c r="D68" s="183"/>
      <c r="E68" s="180">
        <v>4.55</v>
      </c>
      <c r="F68" s="180">
        <v>6.17</v>
      </c>
      <c r="G68" s="181">
        <f t="shared" si="63"/>
        <v>1.3560439560439561</v>
      </c>
      <c r="H68" s="182">
        <f t="shared" si="64"/>
        <v>7.6662507133539535</v>
      </c>
      <c r="I68" s="141">
        <f t="shared" si="65"/>
        <v>1.5425</v>
      </c>
      <c r="J68" s="38">
        <f t="shared" si="66"/>
        <v>11799027.55267423</v>
      </c>
      <c r="K68" s="87">
        <v>4000</v>
      </c>
      <c r="L68" s="271"/>
      <c r="M68" s="41">
        <v>150.5</v>
      </c>
      <c r="N68" s="42">
        <f t="shared" si="67"/>
        <v>849.3885534092004</v>
      </c>
      <c r="O68" s="188">
        <f t="shared" si="68"/>
        <v>5.643777763516282</v>
      </c>
      <c r="P68" s="357">
        <v>5.8</v>
      </c>
      <c r="Q68" s="180">
        <f t="shared" si="39"/>
        <v>3.538</v>
      </c>
      <c r="R68" s="180">
        <f t="shared" si="69"/>
        <v>3.538</v>
      </c>
      <c r="S68" s="186"/>
      <c r="T68" s="51">
        <f t="shared" si="70"/>
        <v>0.8199335548172758</v>
      </c>
      <c r="U68" s="51">
        <f t="shared" si="71"/>
        <v>2.3486076979805355</v>
      </c>
      <c r="V68" s="229">
        <f t="shared" si="72"/>
        <v>0.46662811295681056</v>
      </c>
      <c r="W68" s="187">
        <f t="shared" si="73"/>
        <v>2.114042947674456</v>
      </c>
      <c r="X68" s="187">
        <f t="shared" si="74"/>
        <v>4.848936108756109</v>
      </c>
      <c r="Y68" s="187">
        <f t="shared" si="32"/>
        <v>4.848936108756109</v>
      </c>
      <c r="Z68" s="90">
        <v>0.0666666666666667</v>
      </c>
      <c r="AA68" s="91">
        <f t="shared" si="75"/>
        <v>0.4730935319962151</v>
      </c>
      <c r="AB68" s="209"/>
      <c r="AC68" s="211">
        <f t="shared" si="76"/>
        <v>3.4460865275601624</v>
      </c>
      <c r="AD68" s="210">
        <f t="shared" si="77"/>
        <v>5.3155884687615504</v>
      </c>
      <c r="AE68" s="232">
        <f t="shared" si="78"/>
        <v>5.3155884687615504</v>
      </c>
      <c r="AF68" s="213">
        <f t="shared" si="79"/>
        <v>734.6722832648544</v>
      </c>
      <c r="AG68" s="214">
        <v>1.4</v>
      </c>
      <c r="AH68" s="237">
        <f t="shared" si="80"/>
        <v>0.0573953488372093</v>
      </c>
      <c r="AI68" s="240">
        <f t="shared" si="81"/>
        <v>1.3976229810833436</v>
      </c>
      <c r="AJ68" s="240">
        <f t="shared" si="82"/>
        <v>1.4023851181609233</v>
      </c>
      <c r="AK68" s="240">
        <f t="shared" si="83"/>
        <v>0.0047621370775796645</v>
      </c>
      <c r="AL68" s="216">
        <f t="shared" si="84"/>
        <v>30.830413118816992</v>
      </c>
      <c r="AM68" s="216">
        <f t="shared" si="85"/>
        <v>1743.9231204070095</v>
      </c>
      <c r="AN68" s="216">
        <f t="shared" si="86"/>
        <v>1160.7369600298484</v>
      </c>
      <c r="AO68" s="213">
        <f t="shared" si="87"/>
        <v>2.242750197244741</v>
      </c>
      <c r="AP68" s="229">
        <f t="shared" si="88"/>
        <v>2.242750197244741</v>
      </c>
      <c r="AQ68" s="213">
        <f t="shared" si="89"/>
        <v>0.9935594523867052</v>
      </c>
      <c r="AR68" s="368">
        <f t="shared" si="90"/>
        <v>32.91162790697674</v>
      </c>
      <c r="AS68" s="33">
        <f t="shared" si="91"/>
        <v>25.948275862068968</v>
      </c>
    </row>
    <row r="69" spans="1:45" ht="12.75">
      <c r="A69" s="24"/>
      <c r="B69" s="179" t="s">
        <v>77</v>
      </c>
      <c r="C69" s="44" t="s">
        <v>276</v>
      </c>
      <c r="D69" s="183"/>
      <c r="E69" s="180">
        <v>4.55</v>
      </c>
      <c r="F69" s="180">
        <v>6.17</v>
      </c>
      <c r="G69" s="181">
        <f t="shared" si="63"/>
        <v>1.3560439560439561</v>
      </c>
      <c r="H69" s="182">
        <f t="shared" si="64"/>
        <v>7.6662507133539535</v>
      </c>
      <c r="I69" s="141">
        <f t="shared" si="65"/>
        <v>1.1902006172839505</v>
      </c>
      <c r="J69" s="38">
        <f t="shared" si="66"/>
        <v>19817835.46191248</v>
      </c>
      <c r="K69" s="87">
        <v>5184</v>
      </c>
      <c r="L69" s="271"/>
      <c r="M69" s="41">
        <v>172</v>
      </c>
      <c r="N69" s="42">
        <f t="shared" si="67"/>
        <v>970.7297753248005</v>
      </c>
      <c r="O69" s="188">
        <f t="shared" si="68"/>
        <v>5.643777763516282</v>
      </c>
      <c r="P69" s="357">
        <v>6.9</v>
      </c>
      <c r="Q69" s="180">
        <f t="shared" si="39"/>
        <v>4.2090000000000005</v>
      </c>
      <c r="R69" s="180">
        <f t="shared" si="69"/>
        <v>4.2090000000000005</v>
      </c>
      <c r="S69" s="186"/>
      <c r="T69" s="51">
        <f t="shared" si="70"/>
        <v>0.7174418604651163</v>
      </c>
      <c r="U69" s="51">
        <f t="shared" si="71"/>
        <v>2.0550991750919203</v>
      </c>
      <c r="V69" s="229">
        <f t="shared" si="72"/>
        <v>0.4852096046511628</v>
      </c>
      <c r="W69" s="187">
        <f t="shared" si="73"/>
        <v>1.4273052309030823</v>
      </c>
      <c r="X69" s="187">
        <f t="shared" si="74"/>
        <v>5.047491682097294</v>
      </c>
      <c r="Y69" s="187">
        <f t="shared" si="32"/>
        <v>5.047491682097294</v>
      </c>
      <c r="Z69" s="90">
        <v>0.0666666666666667</v>
      </c>
      <c r="AA69" s="91">
        <f t="shared" si="75"/>
        <v>0.7006961111429537</v>
      </c>
      <c r="AB69" s="209"/>
      <c r="AC69" s="211">
        <f t="shared" si="76"/>
        <v>4.466128139717971</v>
      </c>
      <c r="AD69" s="210">
        <f t="shared" si="77"/>
        <v>5.3155884687615504</v>
      </c>
      <c r="AE69" s="232">
        <f t="shared" si="78"/>
        <v>5.3155884687615504</v>
      </c>
      <c r="AF69" s="213">
        <f t="shared" si="79"/>
        <v>806.5967215259211</v>
      </c>
      <c r="AG69" s="214">
        <v>2</v>
      </c>
      <c r="AH69" s="237">
        <f t="shared" si="80"/>
        <v>0.07174418604651163</v>
      </c>
      <c r="AI69" s="240">
        <f t="shared" si="81"/>
        <v>1.99547762469077</v>
      </c>
      <c r="AJ69" s="240">
        <f t="shared" si="82"/>
        <v>2.0045429200989173</v>
      </c>
      <c r="AK69" s="240">
        <f t="shared" si="83"/>
        <v>0.009065295408147378</v>
      </c>
      <c r="AL69" s="216">
        <f t="shared" si="84"/>
        <v>36.6775604344547</v>
      </c>
      <c r="AM69" s="216">
        <f t="shared" si="85"/>
        <v>1465.9063910667617</v>
      </c>
      <c r="AN69" s="216">
        <f t="shared" si="86"/>
        <v>1160.7369600298484</v>
      </c>
      <c r="AO69" s="213">
        <f t="shared" si="87"/>
        <v>1.5846695365535197</v>
      </c>
      <c r="AP69" s="229">
        <f t="shared" si="88"/>
        <v>1.5846695365535197</v>
      </c>
      <c r="AQ69" s="213">
        <f t="shared" si="89"/>
        <v>0.9935594523867052</v>
      </c>
      <c r="AR69" s="368">
        <f t="shared" si="90"/>
        <v>48.941860465116285</v>
      </c>
      <c r="AS69" s="33">
        <f t="shared" si="91"/>
        <v>24.927536231884055</v>
      </c>
    </row>
    <row r="70" spans="1:45" s="4" customFormat="1" ht="409.5">
      <c r="A70" s="22" t="s">
        <v>286</v>
      </c>
      <c r="B70" s="22" t="s">
        <v>11</v>
      </c>
      <c r="C70" s="22" t="s">
        <v>144</v>
      </c>
      <c r="D70" s="185"/>
      <c r="E70" s="22" t="s">
        <v>85</v>
      </c>
      <c r="F70" s="22" t="s">
        <v>86</v>
      </c>
      <c r="G70" s="50" t="s">
        <v>76</v>
      </c>
      <c r="H70" s="22" t="s">
        <v>12</v>
      </c>
      <c r="I70" s="37" t="s">
        <v>329</v>
      </c>
      <c r="J70" s="37" t="s">
        <v>330</v>
      </c>
      <c r="K70" s="37" t="s">
        <v>143</v>
      </c>
      <c r="L70" s="185"/>
      <c r="M70" s="23" t="s">
        <v>2</v>
      </c>
      <c r="N70" s="23" t="s">
        <v>331</v>
      </c>
      <c r="O70" s="23" t="s">
        <v>175</v>
      </c>
      <c r="P70" s="43" t="s">
        <v>79</v>
      </c>
      <c r="Q70" s="43" t="s">
        <v>321</v>
      </c>
      <c r="R70" s="43" t="s">
        <v>322</v>
      </c>
      <c r="S70" s="185"/>
      <c r="T70" s="39" t="s">
        <v>314</v>
      </c>
      <c r="U70" s="39" t="s">
        <v>140</v>
      </c>
      <c r="V70" s="367" t="s">
        <v>285</v>
      </c>
      <c r="W70" s="37" t="s">
        <v>335</v>
      </c>
      <c r="X70" s="37" t="s">
        <v>258</v>
      </c>
      <c r="Y70" s="37" t="s">
        <v>334</v>
      </c>
      <c r="Z70" s="89" t="s">
        <v>141</v>
      </c>
      <c r="AA70" s="89" t="s">
        <v>142</v>
      </c>
      <c r="AB70" s="185"/>
      <c r="AC70" s="23" t="s">
        <v>315</v>
      </c>
      <c r="AD70" s="23" t="s">
        <v>316</v>
      </c>
      <c r="AE70" s="231" t="s">
        <v>115</v>
      </c>
      <c r="AF70" s="23" t="s">
        <v>5</v>
      </c>
      <c r="AG70" s="23" t="s">
        <v>6</v>
      </c>
      <c r="AH70" s="23" t="s">
        <v>310</v>
      </c>
      <c r="AI70" s="23" t="s">
        <v>319</v>
      </c>
      <c r="AJ70" s="23" t="s">
        <v>318</v>
      </c>
      <c r="AK70" s="23" t="s">
        <v>320</v>
      </c>
      <c r="AL70" s="23" t="s">
        <v>306</v>
      </c>
      <c r="AM70" s="23" t="s">
        <v>307</v>
      </c>
      <c r="AN70" s="23" t="s">
        <v>308</v>
      </c>
      <c r="AO70" s="23" t="s">
        <v>309</v>
      </c>
      <c r="AP70" s="23" t="s">
        <v>323</v>
      </c>
      <c r="AQ70" s="23" t="s">
        <v>317</v>
      </c>
      <c r="AR70" s="367" t="s">
        <v>333</v>
      </c>
      <c r="AS70" s="22" t="s">
        <v>311</v>
      </c>
    </row>
    <row r="71" spans="2:4" ht="12.75">
      <c r="B71" s="1"/>
      <c r="C71" s="1"/>
      <c r="D71" s="1"/>
    </row>
    <row r="72" spans="2:4" ht="12.75">
      <c r="B72" s="4"/>
      <c r="C72" s="4"/>
      <c r="D72" s="4"/>
    </row>
    <row r="73" ht="12.75">
      <c r="F73" s="1"/>
    </row>
    <row r="74" ht="12.75">
      <c r="F74" s="1"/>
    </row>
    <row r="75" ht="12.75">
      <c r="F75" s="1"/>
    </row>
    <row r="76" ht="12.75">
      <c r="F76" s="1"/>
    </row>
    <row r="77" ht="12.75">
      <c r="F77" s="1"/>
    </row>
    <row r="78" ht="12.75"/>
    <row r="79" ht="12.75"/>
    <row r="80" ht="12.75"/>
    <row r="81" ht="12.75"/>
    <row r="82" ht="12.75"/>
    <row r="83" ht="12.75"/>
    <row r="84" ht="12.75"/>
    <row r="85" ht="12.75"/>
    <row r="86" ht="12.75"/>
    <row r="87" ht="12.75"/>
    <row r="88" ht="12.75"/>
    <row r="89" ht="12.75"/>
    <row r="90" ht="12.75"/>
    <row r="91" ht="12.75"/>
    <row r="92" ht="12.75"/>
  </sheetData>
  <sheetProtection/>
  <hyperlinks>
    <hyperlink ref="B58" r:id="rId1" display="La profondeur de champ ne dépend que de la taille de la pupille d'entrée !"/>
  </hyperlinks>
  <printOptions gridLines="1"/>
  <pageMargins left="0.75" right="0.75" top="1" bottom="1" header="0.4921259845" footer="0.4921259845"/>
  <pageSetup horizontalDpi="600" verticalDpi="600" orientation="portrait" paperSize="9" r:id="rId5"/>
  <headerFooter alignWithMargins="0">
    <oddHeader>&amp;C&amp;F</oddHeader>
    <oddFooter>&amp;CPage &amp;P</oddFooter>
  </headerFooter>
  <drawing r:id="rId4"/>
  <legacyDrawing r:id="rId3"/>
</worksheet>
</file>

<file path=xl/worksheets/sheet4.xml><?xml version="1.0" encoding="utf-8"?>
<worksheet xmlns="http://schemas.openxmlformats.org/spreadsheetml/2006/main" xmlns:r="http://schemas.openxmlformats.org/officeDocument/2006/relationships">
  <dimension ref="A1:I14"/>
  <sheetViews>
    <sheetView zoomScalePageLayoutView="0" workbookViewId="0" topLeftCell="A1">
      <selection activeCell="H11" sqref="H11"/>
    </sheetView>
  </sheetViews>
  <sheetFormatPr defaultColWidth="11.421875" defaultRowHeight="12.75"/>
  <cols>
    <col min="1" max="1" width="20.140625" style="0" customWidth="1"/>
    <col min="2" max="9" width="6.7109375" style="52" customWidth="1"/>
  </cols>
  <sheetData>
    <row r="1" ht="12.75">
      <c r="A1" s="1" t="s">
        <v>18</v>
      </c>
    </row>
    <row r="2" ht="12.75">
      <c r="A2" t="s">
        <v>19</v>
      </c>
    </row>
    <row r="3" ht="12.75"/>
    <row r="4" ht="12.75">
      <c r="A4" s="1" t="s">
        <v>20</v>
      </c>
    </row>
    <row r="5" ht="12.75">
      <c r="A5" s="12" t="s">
        <v>139</v>
      </c>
    </row>
    <row r="6" spans="1:9" ht="12.75">
      <c r="A6" s="26" t="s">
        <v>90</v>
      </c>
      <c r="D6" s="59" t="s">
        <v>124</v>
      </c>
      <c r="F6" s="81" t="s">
        <v>88</v>
      </c>
      <c r="G6" s="81" t="s">
        <v>89</v>
      </c>
      <c r="H6" s="385" t="s">
        <v>302</v>
      </c>
      <c r="I6" s="155"/>
    </row>
    <row r="7" spans="1:9" ht="12.75">
      <c r="A7" t="s">
        <v>216</v>
      </c>
      <c r="B7" s="53">
        <v>22</v>
      </c>
      <c r="C7" s="54">
        <v>12</v>
      </c>
      <c r="D7" s="80">
        <v>32</v>
      </c>
      <c r="E7" s="82">
        <v>16</v>
      </c>
      <c r="F7" s="81">
        <v>12</v>
      </c>
      <c r="G7" s="164">
        <v>40</v>
      </c>
      <c r="H7" s="386">
        <v>4.5</v>
      </c>
      <c r="I7" s="165">
        <v>42</v>
      </c>
    </row>
    <row r="8" spans="1:9" s="26" customFormat="1" ht="12.75">
      <c r="A8" s="26" t="s">
        <v>215</v>
      </c>
      <c r="B8" s="157">
        <f aca="true" t="shared" si="0" ref="B8:I8">B7/12/0.0254</f>
        <v>72.17847769028872</v>
      </c>
      <c r="C8" s="158">
        <f t="shared" si="0"/>
        <v>39.37007874015748</v>
      </c>
      <c r="D8" s="159">
        <f t="shared" si="0"/>
        <v>104.98687664041995</v>
      </c>
      <c r="E8" s="160">
        <f t="shared" si="0"/>
        <v>52.493438320209975</v>
      </c>
      <c r="F8" s="161">
        <f t="shared" si="0"/>
        <v>39.37007874015748</v>
      </c>
      <c r="G8" s="161">
        <f t="shared" si="0"/>
        <v>131.23359580052494</v>
      </c>
      <c r="H8" s="387">
        <f t="shared" si="0"/>
        <v>14.763779527559056</v>
      </c>
      <c r="I8" s="156">
        <f t="shared" si="0"/>
        <v>137.7952755905512</v>
      </c>
    </row>
    <row r="9" spans="1:9" ht="12.75">
      <c r="A9" t="s">
        <v>91</v>
      </c>
      <c r="B9" s="53">
        <v>100</v>
      </c>
      <c r="C9" s="54">
        <v>100</v>
      </c>
      <c r="D9" s="80">
        <v>100</v>
      </c>
      <c r="E9" s="82">
        <v>100</v>
      </c>
      <c r="F9" s="81">
        <v>100</v>
      </c>
      <c r="G9" s="81">
        <v>100</v>
      </c>
      <c r="H9" s="386">
        <v>100</v>
      </c>
      <c r="I9" s="151">
        <v>100</v>
      </c>
    </row>
    <row r="10" spans="1:9" ht="12.75">
      <c r="A10" t="s">
        <v>214</v>
      </c>
      <c r="B10" s="144">
        <f>1</f>
        <v>1</v>
      </c>
      <c r="C10" s="145">
        <f>1</f>
        <v>1</v>
      </c>
      <c r="D10" s="146">
        <f>1</f>
        <v>1</v>
      </c>
      <c r="E10" s="147">
        <f>1</f>
        <v>1</v>
      </c>
      <c r="F10" s="148">
        <f>1</f>
        <v>1</v>
      </c>
      <c r="G10" s="148">
        <f>1</f>
        <v>1</v>
      </c>
      <c r="H10" s="388">
        <f>1</f>
        <v>1</v>
      </c>
      <c r="I10" s="152">
        <f>1</f>
        <v>1</v>
      </c>
    </row>
    <row r="11" spans="1:9" ht="12.75">
      <c r="A11" t="s">
        <v>21</v>
      </c>
      <c r="B11" s="53">
        <v>200</v>
      </c>
      <c r="C11" s="54">
        <v>100</v>
      </c>
      <c r="D11" s="55">
        <v>100</v>
      </c>
      <c r="E11" s="82">
        <v>64</v>
      </c>
      <c r="F11" s="56">
        <v>200</v>
      </c>
      <c r="G11" s="56">
        <v>800</v>
      </c>
      <c r="H11" s="386">
        <v>320</v>
      </c>
      <c r="I11" s="153">
        <v>400</v>
      </c>
    </row>
    <row r="12" spans="1:9" ht="12.75">
      <c r="A12" t="s">
        <v>22</v>
      </c>
      <c r="B12" s="53">
        <v>2</v>
      </c>
      <c r="C12" s="54">
        <v>1</v>
      </c>
      <c r="D12" s="55">
        <v>6</v>
      </c>
      <c r="E12" s="82">
        <v>5</v>
      </c>
      <c r="F12" s="56">
        <v>2</v>
      </c>
      <c r="G12" s="56">
        <v>20</v>
      </c>
      <c r="H12" s="386">
        <v>1</v>
      </c>
      <c r="I12" s="153">
        <v>11</v>
      </c>
    </row>
    <row r="13" spans="1:9" ht="12.75">
      <c r="A13" t="s">
        <v>223</v>
      </c>
      <c r="B13" s="57">
        <f aca="true" t="shared" si="1" ref="B13:I13">B7/B12*SQRT(B11/B9*B10)</f>
        <v>15.556349186104047</v>
      </c>
      <c r="C13" s="58">
        <f t="shared" si="1"/>
        <v>12</v>
      </c>
      <c r="D13" s="59">
        <f t="shared" si="1"/>
        <v>5.333333333333333</v>
      </c>
      <c r="E13" s="150">
        <f t="shared" si="1"/>
        <v>2.5600000000000005</v>
      </c>
      <c r="F13" s="60">
        <f t="shared" si="1"/>
        <v>8.485281374238571</v>
      </c>
      <c r="G13" s="60">
        <f t="shared" si="1"/>
        <v>5.656854249492381</v>
      </c>
      <c r="H13" s="389">
        <f t="shared" si="1"/>
        <v>8.049844718999243</v>
      </c>
      <c r="I13" s="154">
        <f t="shared" si="1"/>
        <v>7.636363636363637</v>
      </c>
    </row>
    <row r="14" spans="6:9" ht="12.75">
      <c r="F14" s="149"/>
      <c r="G14" s="149"/>
      <c r="I14" s="149"/>
    </row>
  </sheetData>
  <sheetProtection/>
  <printOptions gridLines="1"/>
  <pageMargins left="0.75" right="0.75" top="1" bottom="1" header="0.4921259845" footer="0.4921259845"/>
  <pageSetup horizontalDpi="600" verticalDpi="600" orientation="portrait" paperSize="9" r:id="rId3"/>
  <headerFooter alignWithMargins="0">
    <oddHeader>&amp;C&amp;F</oddHeader>
    <oddFooter>&amp;CPage &amp;P</oddFooter>
  </headerFooter>
  <legacyDrawing r:id="rId2"/>
</worksheet>
</file>

<file path=xl/worksheets/sheet5.xml><?xml version="1.0" encoding="utf-8"?>
<worksheet xmlns="http://schemas.openxmlformats.org/spreadsheetml/2006/main" xmlns:r="http://schemas.openxmlformats.org/officeDocument/2006/relationships">
  <dimension ref="A1:N61"/>
  <sheetViews>
    <sheetView zoomScalePageLayoutView="0" workbookViewId="0" topLeftCell="A40">
      <selection activeCell="C64" sqref="C64"/>
    </sheetView>
  </sheetViews>
  <sheetFormatPr defaultColWidth="11.421875" defaultRowHeight="12.75"/>
  <cols>
    <col min="1" max="1" width="12.8515625" style="0" customWidth="1"/>
    <col min="2" max="3" width="5.7109375" style="0" customWidth="1"/>
    <col min="4" max="16" width="6.7109375" style="0" customWidth="1"/>
  </cols>
  <sheetData>
    <row r="1" ht="12.75">
      <c r="A1" t="s">
        <v>23</v>
      </c>
    </row>
    <row r="3" ht="12.75">
      <c r="C3" t="s">
        <v>24</v>
      </c>
    </row>
    <row r="5" spans="1:3" ht="12.75">
      <c r="A5" t="s">
        <v>25</v>
      </c>
      <c r="C5" t="s">
        <v>26</v>
      </c>
    </row>
    <row r="6" ht="12.75">
      <c r="A6" t="s">
        <v>83</v>
      </c>
    </row>
    <row r="7" ht="12.75">
      <c r="A7" t="s">
        <v>27</v>
      </c>
    </row>
    <row r="8" ht="12.75">
      <c r="A8" t="s">
        <v>28</v>
      </c>
    </row>
    <row r="10" spans="4:12" ht="12.75">
      <c r="D10" t="s">
        <v>217</v>
      </c>
      <c r="E10" s="74" t="s">
        <v>218</v>
      </c>
      <c r="L10" s="162" t="s">
        <v>219</v>
      </c>
    </row>
    <row r="11" spans="5:12" ht="12.75">
      <c r="E11" s="163" t="s">
        <v>222</v>
      </c>
      <c r="F11" s="163"/>
      <c r="G11" s="163"/>
      <c r="H11" s="163"/>
      <c r="I11" s="163"/>
      <c r="J11" s="163"/>
      <c r="K11" s="163"/>
      <c r="L11" s="163"/>
    </row>
    <row r="13" ht="12.75">
      <c r="D13" t="s">
        <v>220</v>
      </c>
    </row>
    <row r="16" ht="12.75">
      <c r="D16" t="s">
        <v>221</v>
      </c>
    </row>
    <row r="19" ht="12.75">
      <c r="A19" s="12" t="s">
        <v>29</v>
      </c>
    </row>
    <row r="20" spans="1:2" ht="12.75">
      <c r="A20" t="s">
        <v>30</v>
      </c>
      <c r="B20" s="12">
        <v>100</v>
      </c>
    </row>
    <row r="21" spans="1:14" s="7" customFormat="1" ht="25.5" customHeight="1">
      <c r="A21" s="7" t="s">
        <v>31</v>
      </c>
      <c r="B21" s="7" t="s">
        <v>32</v>
      </c>
      <c r="C21" s="7" t="s">
        <v>33</v>
      </c>
      <c r="D21" s="8">
        <v>1</v>
      </c>
      <c r="E21" s="8">
        <f aca="true" t="shared" si="0" ref="E21:N21">D21*SQRT(2)</f>
        <v>1.4142135623730951</v>
      </c>
      <c r="F21" s="8">
        <f t="shared" si="0"/>
        <v>2.0000000000000004</v>
      </c>
      <c r="G21" s="8">
        <f t="shared" si="0"/>
        <v>2.8284271247461907</v>
      </c>
      <c r="H21" s="8">
        <f t="shared" si="0"/>
        <v>4.000000000000001</v>
      </c>
      <c r="I21" s="8">
        <f t="shared" si="0"/>
        <v>5.6568542494923815</v>
      </c>
      <c r="J21" s="8">
        <f t="shared" si="0"/>
        <v>8.000000000000002</v>
      </c>
      <c r="K21" s="8">
        <f t="shared" si="0"/>
        <v>11.313708498984763</v>
      </c>
      <c r="L21" s="8">
        <f t="shared" si="0"/>
        <v>16.000000000000004</v>
      </c>
      <c r="M21" s="8">
        <f t="shared" si="0"/>
        <v>22.627416997969526</v>
      </c>
      <c r="N21" s="8">
        <f t="shared" si="0"/>
        <v>32.00000000000001</v>
      </c>
    </row>
    <row r="22" spans="1:5" s="4" customFormat="1" ht="12.75">
      <c r="A22">
        <v>0.001953125</v>
      </c>
      <c r="B22" s="4">
        <f aca="true" t="shared" si="1" ref="B22:B48">LOG(A22)/LOG(2)</f>
        <v>-9</v>
      </c>
      <c r="C22" s="4">
        <f aca="true" t="shared" si="2" ref="C22:C48">B22+3</f>
        <v>-6</v>
      </c>
      <c r="D22" s="4">
        <f aca="true" t="shared" si="3" ref="D22:E39">12.5/$A22/ISO*(D$21^2)</f>
        <v>64</v>
      </c>
      <c r="E22" s="4">
        <f t="shared" si="3"/>
        <v>128.00000000000003</v>
      </c>
    </row>
    <row r="23" spans="1:6" s="4" customFormat="1" ht="12.75">
      <c r="A23">
        <v>0.00390625</v>
      </c>
      <c r="B23" s="4">
        <f t="shared" si="1"/>
        <v>-8</v>
      </c>
      <c r="C23" s="4">
        <f t="shared" si="2"/>
        <v>-5</v>
      </c>
      <c r="D23" s="4">
        <f t="shared" si="3"/>
        <v>32</v>
      </c>
      <c r="E23" s="4">
        <f t="shared" si="3"/>
        <v>64.00000000000001</v>
      </c>
      <c r="F23" s="4">
        <f aca="true" t="shared" si="4" ref="F23:F41">12.5/$A23/ISO*(F$21^2)</f>
        <v>128.00000000000006</v>
      </c>
    </row>
    <row r="24" spans="1:7" s="4" customFormat="1" ht="12.75">
      <c r="A24">
        <v>0.0078125</v>
      </c>
      <c r="B24" s="4">
        <f t="shared" si="1"/>
        <v>-7</v>
      </c>
      <c r="C24" s="4">
        <f t="shared" si="2"/>
        <v>-4</v>
      </c>
      <c r="D24" s="4">
        <f t="shared" si="3"/>
        <v>16</v>
      </c>
      <c r="E24" s="4">
        <f t="shared" si="3"/>
        <v>32.00000000000001</v>
      </c>
      <c r="F24" s="4">
        <f t="shared" si="4"/>
        <v>64.00000000000003</v>
      </c>
      <c r="G24" s="4">
        <f aca="true" t="shared" si="5" ref="G24:G42">12.5/$A24/ISO*(G$21^2)</f>
        <v>128.00000000000006</v>
      </c>
    </row>
    <row r="25" spans="1:8" s="4" customFormat="1" ht="12.75">
      <c r="A25">
        <v>0.015625</v>
      </c>
      <c r="B25" s="4">
        <f t="shared" si="1"/>
        <v>-6</v>
      </c>
      <c r="C25" s="4">
        <f t="shared" si="2"/>
        <v>-3</v>
      </c>
      <c r="D25" s="4">
        <f t="shared" si="3"/>
        <v>8</v>
      </c>
      <c r="E25" s="4">
        <f t="shared" si="3"/>
        <v>16.000000000000004</v>
      </c>
      <c r="F25" s="4">
        <f t="shared" si="4"/>
        <v>32.000000000000014</v>
      </c>
      <c r="G25" s="4">
        <f t="shared" si="5"/>
        <v>64.00000000000003</v>
      </c>
      <c r="H25" s="4">
        <f aca="true" t="shared" si="6" ref="H25:H43">12.5/$A25/ISO*(H$21^2)</f>
        <v>128.00000000000006</v>
      </c>
    </row>
    <row r="26" spans="1:14" ht="12.75">
      <c r="A26">
        <v>0.03125</v>
      </c>
      <c r="B26" s="4">
        <f t="shared" si="1"/>
        <v>-5</v>
      </c>
      <c r="C26" s="4">
        <f t="shared" si="2"/>
        <v>-2</v>
      </c>
      <c r="D26" s="4">
        <f t="shared" si="3"/>
        <v>4</v>
      </c>
      <c r="E26" s="4">
        <f t="shared" si="3"/>
        <v>8.000000000000002</v>
      </c>
      <c r="F26" s="4">
        <f t="shared" si="4"/>
        <v>16.000000000000007</v>
      </c>
      <c r="G26" s="4">
        <f t="shared" si="5"/>
        <v>32.000000000000014</v>
      </c>
      <c r="H26" s="4">
        <f t="shared" si="6"/>
        <v>64.00000000000003</v>
      </c>
      <c r="I26" s="4">
        <f aca="true" t="shared" si="7" ref="I26:I44">12.5/$A26/ISO*(I$21^2)</f>
        <v>128.00000000000006</v>
      </c>
      <c r="J26" s="4"/>
      <c r="K26" s="4"/>
      <c r="L26" s="4"/>
      <c r="M26" s="4"/>
      <c r="N26" s="4"/>
    </row>
    <row r="27" spans="1:14" ht="12.75">
      <c r="A27">
        <v>0.0625</v>
      </c>
      <c r="B27" s="4">
        <f t="shared" si="1"/>
        <v>-4</v>
      </c>
      <c r="C27" s="4">
        <f t="shared" si="2"/>
        <v>-1</v>
      </c>
      <c r="D27" s="4">
        <f t="shared" si="3"/>
        <v>2</v>
      </c>
      <c r="E27" s="4">
        <f t="shared" si="3"/>
        <v>4.000000000000001</v>
      </c>
      <c r="F27" s="4">
        <f t="shared" si="4"/>
        <v>8.000000000000004</v>
      </c>
      <c r="G27" s="4">
        <f t="shared" si="5"/>
        <v>16.000000000000007</v>
      </c>
      <c r="H27" s="4">
        <f t="shared" si="6"/>
        <v>32.000000000000014</v>
      </c>
      <c r="I27" s="4">
        <f t="shared" si="7"/>
        <v>64.00000000000003</v>
      </c>
      <c r="J27" s="4">
        <f aca="true" t="shared" si="8" ref="J27:J45">12.5/$A27/ISO*(J$21^2)</f>
        <v>128.00000000000006</v>
      </c>
      <c r="K27" s="4"/>
      <c r="L27" s="4"/>
      <c r="M27" s="4"/>
      <c r="N27" s="4"/>
    </row>
    <row r="28" spans="1:14" ht="12.75">
      <c r="A28">
        <v>0.125</v>
      </c>
      <c r="B28" s="4">
        <f t="shared" si="1"/>
        <v>-3</v>
      </c>
      <c r="C28" s="4">
        <f t="shared" si="2"/>
        <v>0</v>
      </c>
      <c r="D28" s="4">
        <f t="shared" si="3"/>
        <v>1</v>
      </c>
      <c r="E28" s="4">
        <f t="shared" si="3"/>
        <v>2.0000000000000004</v>
      </c>
      <c r="F28" s="4">
        <f t="shared" si="4"/>
        <v>4.000000000000002</v>
      </c>
      <c r="G28" s="4">
        <f t="shared" si="5"/>
        <v>8.000000000000004</v>
      </c>
      <c r="H28" s="4">
        <f t="shared" si="6"/>
        <v>16.000000000000007</v>
      </c>
      <c r="I28" s="4">
        <f t="shared" si="7"/>
        <v>32.000000000000014</v>
      </c>
      <c r="J28" s="4">
        <f t="shared" si="8"/>
        <v>64.00000000000003</v>
      </c>
      <c r="K28" s="4">
        <f aca="true" t="shared" si="9" ref="K28:K46">12.5/$A28/ISO*(K$21^2)</f>
        <v>128.00000000000006</v>
      </c>
      <c r="L28" s="4"/>
      <c r="M28" s="4"/>
      <c r="N28" s="4"/>
    </row>
    <row r="29" spans="1:14" ht="12.75">
      <c r="A29">
        <v>0.25</v>
      </c>
      <c r="B29" s="4">
        <f t="shared" si="1"/>
        <v>-2</v>
      </c>
      <c r="C29" s="4">
        <f t="shared" si="2"/>
        <v>1</v>
      </c>
      <c r="D29" s="4">
        <f t="shared" si="3"/>
        <v>0.5</v>
      </c>
      <c r="E29" s="4">
        <f t="shared" si="3"/>
        <v>1.0000000000000002</v>
      </c>
      <c r="F29" s="4">
        <f t="shared" si="4"/>
        <v>2.000000000000001</v>
      </c>
      <c r="G29" s="4">
        <f t="shared" si="5"/>
        <v>4.000000000000002</v>
      </c>
      <c r="H29" s="4">
        <f t="shared" si="6"/>
        <v>8.000000000000004</v>
      </c>
      <c r="I29" s="4">
        <f t="shared" si="7"/>
        <v>16.000000000000007</v>
      </c>
      <c r="J29" s="4">
        <f t="shared" si="8"/>
        <v>32.000000000000014</v>
      </c>
      <c r="K29" s="4">
        <f t="shared" si="9"/>
        <v>64.00000000000003</v>
      </c>
      <c r="L29" s="4">
        <f aca="true" t="shared" si="10" ref="L29:L47">12.5/$A29/ISO*(L$21^2)</f>
        <v>128.00000000000006</v>
      </c>
      <c r="M29" s="4"/>
      <c r="N29" s="4"/>
    </row>
    <row r="30" spans="1:14" ht="12.75">
      <c r="A30">
        <v>0.5</v>
      </c>
      <c r="B30" s="4">
        <f t="shared" si="1"/>
        <v>-1</v>
      </c>
      <c r="C30" s="4">
        <f t="shared" si="2"/>
        <v>2</v>
      </c>
      <c r="D30" s="4">
        <f t="shared" si="3"/>
        <v>0.25</v>
      </c>
      <c r="E30" s="4">
        <f t="shared" si="3"/>
        <v>0.5000000000000001</v>
      </c>
      <c r="F30" s="4">
        <f t="shared" si="4"/>
        <v>1.0000000000000004</v>
      </c>
      <c r="G30" s="4">
        <f t="shared" si="5"/>
        <v>2.000000000000001</v>
      </c>
      <c r="H30" s="4">
        <f t="shared" si="6"/>
        <v>4.000000000000002</v>
      </c>
      <c r="I30" s="4">
        <f t="shared" si="7"/>
        <v>8.000000000000004</v>
      </c>
      <c r="J30" s="4">
        <f t="shared" si="8"/>
        <v>16.000000000000007</v>
      </c>
      <c r="K30" s="4">
        <f t="shared" si="9"/>
        <v>32.000000000000014</v>
      </c>
      <c r="L30" s="4">
        <f t="shared" si="10"/>
        <v>64.00000000000003</v>
      </c>
      <c r="M30" s="4">
        <f aca="true" t="shared" si="11" ref="M30:M48">12.5/$A30/ISO*(M$21^2)</f>
        <v>128.00000000000006</v>
      </c>
      <c r="N30" s="4"/>
    </row>
    <row r="31" spans="1:14" ht="12.75">
      <c r="A31">
        <v>1</v>
      </c>
      <c r="B31" s="4">
        <f t="shared" si="1"/>
        <v>0</v>
      </c>
      <c r="C31" s="4">
        <f t="shared" si="2"/>
        <v>3</v>
      </c>
      <c r="D31" s="4">
        <f t="shared" si="3"/>
        <v>0.125</v>
      </c>
      <c r="E31" s="4">
        <f t="shared" si="3"/>
        <v>0.25000000000000006</v>
      </c>
      <c r="F31" s="4">
        <f t="shared" si="4"/>
        <v>0.5000000000000002</v>
      </c>
      <c r="G31" s="4">
        <f t="shared" si="5"/>
        <v>1.0000000000000004</v>
      </c>
      <c r="H31" s="4">
        <f t="shared" si="6"/>
        <v>2.000000000000001</v>
      </c>
      <c r="I31" s="4">
        <f t="shared" si="7"/>
        <v>4.000000000000002</v>
      </c>
      <c r="J31" s="4">
        <f t="shared" si="8"/>
        <v>8.000000000000004</v>
      </c>
      <c r="K31" s="4">
        <f t="shared" si="9"/>
        <v>16.000000000000007</v>
      </c>
      <c r="L31" s="4">
        <f t="shared" si="10"/>
        <v>32.000000000000014</v>
      </c>
      <c r="M31" s="4">
        <f t="shared" si="11"/>
        <v>64.00000000000003</v>
      </c>
      <c r="N31" s="4">
        <f aca="true" t="shared" si="12" ref="N31:N48">12.5/$A31/ISO*(N$21^2)</f>
        <v>128.00000000000006</v>
      </c>
    </row>
    <row r="32" spans="1:14" ht="12.75">
      <c r="A32">
        <v>2</v>
      </c>
      <c r="B32" s="4">
        <f t="shared" si="1"/>
        <v>1</v>
      </c>
      <c r="C32" s="4">
        <f t="shared" si="2"/>
        <v>4</v>
      </c>
      <c r="D32" s="4">
        <f t="shared" si="3"/>
        <v>0.0625</v>
      </c>
      <c r="E32" s="4">
        <f t="shared" si="3"/>
        <v>0.12500000000000003</v>
      </c>
      <c r="F32" s="4">
        <f t="shared" si="4"/>
        <v>0.2500000000000001</v>
      </c>
      <c r="G32" s="4">
        <f t="shared" si="5"/>
        <v>0.5000000000000002</v>
      </c>
      <c r="H32" s="4">
        <f t="shared" si="6"/>
        <v>1.0000000000000004</v>
      </c>
      <c r="I32" s="4">
        <f t="shared" si="7"/>
        <v>2.000000000000001</v>
      </c>
      <c r="J32" s="4">
        <f t="shared" si="8"/>
        <v>4.000000000000002</v>
      </c>
      <c r="K32" s="4">
        <f t="shared" si="9"/>
        <v>8.000000000000004</v>
      </c>
      <c r="L32" s="4">
        <f t="shared" si="10"/>
        <v>16.000000000000007</v>
      </c>
      <c r="M32" s="4">
        <f t="shared" si="11"/>
        <v>32.000000000000014</v>
      </c>
      <c r="N32" s="4">
        <f t="shared" si="12"/>
        <v>64.00000000000003</v>
      </c>
    </row>
    <row r="33" spans="1:14" ht="12.75">
      <c r="A33">
        <v>4</v>
      </c>
      <c r="B33" s="4">
        <f>LOG(A33)/LOG(2)</f>
        <v>2</v>
      </c>
      <c r="C33" s="4">
        <f t="shared" si="2"/>
        <v>5</v>
      </c>
      <c r="D33" s="4">
        <f t="shared" si="3"/>
        <v>0.03125</v>
      </c>
      <c r="E33" s="4">
        <f t="shared" si="3"/>
        <v>0.06250000000000001</v>
      </c>
      <c r="F33" s="4">
        <f t="shared" si="4"/>
        <v>0.12500000000000006</v>
      </c>
      <c r="G33" s="4">
        <f t="shared" si="5"/>
        <v>0.2500000000000001</v>
      </c>
      <c r="H33" s="4">
        <f t="shared" si="6"/>
        <v>0.5000000000000002</v>
      </c>
      <c r="I33" s="4">
        <f t="shared" si="7"/>
        <v>1.0000000000000004</v>
      </c>
      <c r="J33" s="4">
        <f t="shared" si="8"/>
        <v>2.000000000000001</v>
      </c>
      <c r="K33" s="4">
        <f t="shared" si="9"/>
        <v>4.000000000000002</v>
      </c>
      <c r="L33" s="4">
        <f t="shared" si="10"/>
        <v>8.000000000000004</v>
      </c>
      <c r="M33" s="4">
        <f t="shared" si="11"/>
        <v>16.000000000000007</v>
      </c>
      <c r="N33" s="4">
        <f t="shared" si="12"/>
        <v>32.000000000000014</v>
      </c>
    </row>
    <row r="34" spans="1:14" ht="12.75">
      <c r="A34">
        <v>8</v>
      </c>
      <c r="B34" s="4">
        <f t="shared" si="1"/>
        <v>3</v>
      </c>
      <c r="C34" s="4">
        <f t="shared" si="2"/>
        <v>6</v>
      </c>
      <c r="D34" s="4">
        <f t="shared" si="3"/>
        <v>0.015625</v>
      </c>
      <c r="E34" s="4">
        <f t="shared" si="3"/>
        <v>0.03125000000000001</v>
      </c>
      <c r="F34" s="4">
        <f t="shared" si="4"/>
        <v>0.06250000000000003</v>
      </c>
      <c r="G34" s="4">
        <f t="shared" si="5"/>
        <v>0.12500000000000006</v>
      </c>
      <c r="H34" s="4">
        <f t="shared" si="6"/>
        <v>0.2500000000000001</v>
      </c>
      <c r="I34" s="4">
        <f t="shared" si="7"/>
        <v>0.5000000000000002</v>
      </c>
      <c r="J34" s="4">
        <f t="shared" si="8"/>
        <v>1.0000000000000004</v>
      </c>
      <c r="K34" s="4">
        <f t="shared" si="9"/>
        <v>2.000000000000001</v>
      </c>
      <c r="L34" s="4">
        <f t="shared" si="10"/>
        <v>4.000000000000002</v>
      </c>
      <c r="M34" s="4">
        <f t="shared" si="11"/>
        <v>8.000000000000004</v>
      </c>
      <c r="N34" s="4">
        <f t="shared" si="12"/>
        <v>16.000000000000007</v>
      </c>
    </row>
    <row r="35" spans="1:14" ht="12.75">
      <c r="A35">
        <v>16</v>
      </c>
      <c r="B35" s="4">
        <f t="shared" si="1"/>
        <v>4</v>
      </c>
      <c r="C35" s="4">
        <f t="shared" si="2"/>
        <v>7</v>
      </c>
      <c r="D35" s="4">
        <f t="shared" si="3"/>
        <v>0.0078125</v>
      </c>
      <c r="E35" s="4">
        <f t="shared" si="3"/>
        <v>0.015625000000000003</v>
      </c>
      <c r="F35" s="4">
        <f t="shared" si="4"/>
        <v>0.031250000000000014</v>
      </c>
      <c r="G35" s="4">
        <f t="shared" si="5"/>
        <v>0.06250000000000003</v>
      </c>
      <c r="H35" s="4">
        <f t="shared" si="6"/>
        <v>0.12500000000000006</v>
      </c>
      <c r="I35" s="4">
        <f t="shared" si="7"/>
        <v>0.2500000000000001</v>
      </c>
      <c r="J35" s="4">
        <f t="shared" si="8"/>
        <v>0.5000000000000002</v>
      </c>
      <c r="K35" s="4">
        <f t="shared" si="9"/>
        <v>1.0000000000000004</v>
      </c>
      <c r="L35" s="4">
        <f t="shared" si="10"/>
        <v>2.000000000000001</v>
      </c>
      <c r="M35" s="4">
        <f t="shared" si="11"/>
        <v>4.000000000000002</v>
      </c>
      <c r="N35" s="4">
        <f t="shared" si="12"/>
        <v>8.000000000000004</v>
      </c>
    </row>
    <row r="36" spans="1:14" ht="12.75">
      <c r="A36">
        <v>32</v>
      </c>
      <c r="B36" s="4">
        <f t="shared" si="1"/>
        <v>5</v>
      </c>
      <c r="C36" s="4">
        <f t="shared" si="2"/>
        <v>8</v>
      </c>
      <c r="D36" s="4">
        <f t="shared" si="3"/>
        <v>0.00390625</v>
      </c>
      <c r="E36" s="4">
        <f t="shared" si="3"/>
        <v>0.007812500000000002</v>
      </c>
      <c r="F36" s="4">
        <f t="shared" si="4"/>
        <v>0.015625000000000007</v>
      </c>
      <c r="G36" s="4">
        <f t="shared" si="5"/>
        <v>0.031250000000000014</v>
      </c>
      <c r="H36" s="4">
        <f t="shared" si="6"/>
        <v>0.06250000000000003</v>
      </c>
      <c r="I36" s="4">
        <f t="shared" si="7"/>
        <v>0.12500000000000006</v>
      </c>
      <c r="J36" s="4">
        <f t="shared" si="8"/>
        <v>0.2500000000000001</v>
      </c>
      <c r="K36" s="4">
        <f t="shared" si="9"/>
        <v>0.5000000000000002</v>
      </c>
      <c r="L36" s="4">
        <f t="shared" si="10"/>
        <v>1.0000000000000004</v>
      </c>
      <c r="M36" s="4">
        <f t="shared" si="11"/>
        <v>2.000000000000001</v>
      </c>
      <c r="N36" s="4">
        <f t="shared" si="12"/>
        <v>4.000000000000002</v>
      </c>
    </row>
    <row r="37" spans="1:14" ht="12.75">
      <c r="A37">
        <v>64</v>
      </c>
      <c r="B37" s="4">
        <f t="shared" si="1"/>
        <v>6</v>
      </c>
      <c r="C37" s="4">
        <f t="shared" si="2"/>
        <v>9</v>
      </c>
      <c r="D37" s="4">
        <f t="shared" si="3"/>
        <v>0.001953125</v>
      </c>
      <c r="E37" s="4">
        <f t="shared" si="3"/>
        <v>0.003906250000000001</v>
      </c>
      <c r="F37" s="4">
        <f t="shared" si="4"/>
        <v>0.007812500000000003</v>
      </c>
      <c r="G37" s="4">
        <f t="shared" si="5"/>
        <v>0.015625000000000007</v>
      </c>
      <c r="H37" s="4">
        <f t="shared" si="6"/>
        <v>0.031250000000000014</v>
      </c>
      <c r="I37" s="4">
        <f t="shared" si="7"/>
        <v>0.06250000000000003</v>
      </c>
      <c r="J37" s="4">
        <f t="shared" si="8"/>
        <v>0.12500000000000006</v>
      </c>
      <c r="K37" s="4">
        <f t="shared" si="9"/>
        <v>0.2500000000000001</v>
      </c>
      <c r="L37" s="4">
        <f t="shared" si="10"/>
        <v>0.5000000000000002</v>
      </c>
      <c r="M37" s="4">
        <f t="shared" si="11"/>
        <v>1.0000000000000004</v>
      </c>
      <c r="N37" s="4">
        <f t="shared" si="12"/>
        <v>2.000000000000001</v>
      </c>
    </row>
    <row r="38" spans="1:14" ht="12.75">
      <c r="A38">
        <v>128</v>
      </c>
      <c r="B38" s="4">
        <f t="shared" si="1"/>
        <v>7</v>
      </c>
      <c r="C38" s="4">
        <f t="shared" si="2"/>
        <v>10</v>
      </c>
      <c r="D38" s="4">
        <f t="shared" si="3"/>
        <v>0.0009765625</v>
      </c>
      <c r="E38" s="4">
        <f t="shared" si="3"/>
        <v>0.0019531250000000004</v>
      </c>
      <c r="F38" s="4">
        <f t="shared" si="4"/>
        <v>0.003906250000000002</v>
      </c>
      <c r="G38" s="4">
        <f t="shared" si="5"/>
        <v>0.007812500000000003</v>
      </c>
      <c r="H38" s="4">
        <f t="shared" si="6"/>
        <v>0.015625000000000007</v>
      </c>
      <c r="I38" s="4">
        <f t="shared" si="7"/>
        <v>0.031250000000000014</v>
      </c>
      <c r="J38" s="4">
        <f t="shared" si="8"/>
        <v>0.06250000000000003</v>
      </c>
      <c r="K38" s="4">
        <f t="shared" si="9"/>
        <v>0.12500000000000006</v>
      </c>
      <c r="L38" s="4">
        <f t="shared" si="10"/>
        <v>0.2500000000000001</v>
      </c>
      <c r="M38" s="4">
        <f t="shared" si="11"/>
        <v>0.5000000000000002</v>
      </c>
      <c r="N38" s="4">
        <f t="shared" si="12"/>
        <v>1.0000000000000004</v>
      </c>
    </row>
    <row r="39" spans="1:14" ht="12.75">
      <c r="A39">
        <v>256</v>
      </c>
      <c r="B39" s="4">
        <f t="shared" si="1"/>
        <v>8</v>
      </c>
      <c r="C39" s="4">
        <f t="shared" si="2"/>
        <v>11</v>
      </c>
      <c r="D39" s="4">
        <f t="shared" si="3"/>
        <v>0.00048828125</v>
      </c>
      <c r="E39" s="4">
        <f t="shared" si="3"/>
        <v>0.0009765625000000002</v>
      </c>
      <c r="F39" s="4">
        <f t="shared" si="4"/>
        <v>0.001953125000000001</v>
      </c>
      <c r="G39" s="4">
        <f t="shared" si="5"/>
        <v>0.003906250000000002</v>
      </c>
      <c r="H39" s="4">
        <f t="shared" si="6"/>
        <v>0.007812500000000003</v>
      </c>
      <c r="I39" s="4">
        <f t="shared" si="7"/>
        <v>0.015625000000000007</v>
      </c>
      <c r="J39" s="4">
        <f t="shared" si="8"/>
        <v>0.031250000000000014</v>
      </c>
      <c r="K39" s="4">
        <f t="shared" si="9"/>
        <v>0.06250000000000003</v>
      </c>
      <c r="L39" s="4">
        <f t="shared" si="10"/>
        <v>0.12500000000000006</v>
      </c>
      <c r="M39" s="4">
        <f t="shared" si="11"/>
        <v>0.2500000000000001</v>
      </c>
      <c r="N39" s="4">
        <f t="shared" si="12"/>
        <v>0.5000000000000002</v>
      </c>
    </row>
    <row r="40" spans="1:14" ht="12.75">
      <c r="A40">
        <v>512</v>
      </c>
      <c r="B40" s="4">
        <f t="shared" si="1"/>
        <v>9</v>
      </c>
      <c r="C40" s="4">
        <f t="shared" si="2"/>
        <v>12</v>
      </c>
      <c r="D40" s="4"/>
      <c r="E40" s="4">
        <f>12.5/$A40/ISO*(E$21^2)</f>
        <v>0.0004882812500000001</v>
      </c>
      <c r="F40" s="4">
        <f t="shared" si="4"/>
        <v>0.0009765625000000004</v>
      </c>
      <c r="G40" s="4">
        <f t="shared" si="5"/>
        <v>0.001953125000000001</v>
      </c>
      <c r="H40" s="4">
        <f t="shared" si="6"/>
        <v>0.003906250000000002</v>
      </c>
      <c r="I40" s="4">
        <f t="shared" si="7"/>
        <v>0.007812500000000003</v>
      </c>
      <c r="J40" s="4">
        <f t="shared" si="8"/>
        <v>0.015625000000000007</v>
      </c>
      <c r="K40" s="4">
        <f t="shared" si="9"/>
        <v>0.031250000000000014</v>
      </c>
      <c r="L40" s="4">
        <f t="shared" si="10"/>
        <v>0.06250000000000003</v>
      </c>
      <c r="M40" s="4">
        <f t="shared" si="11"/>
        <v>0.12500000000000006</v>
      </c>
      <c r="N40" s="4">
        <f t="shared" si="12"/>
        <v>0.2500000000000001</v>
      </c>
    </row>
    <row r="41" spans="1:14" ht="12.75">
      <c r="A41" s="9">
        <v>1024</v>
      </c>
      <c r="B41" s="4">
        <f t="shared" si="1"/>
        <v>10</v>
      </c>
      <c r="C41" s="4">
        <f t="shared" si="2"/>
        <v>13</v>
      </c>
      <c r="D41" s="4"/>
      <c r="E41" s="4"/>
      <c r="F41" s="4">
        <f t="shared" si="4"/>
        <v>0.0004882812500000002</v>
      </c>
      <c r="G41" s="4">
        <f t="shared" si="5"/>
        <v>0.0009765625000000004</v>
      </c>
      <c r="H41" s="4">
        <f t="shared" si="6"/>
        <v>0.001953125000000001</v>
      </c>
      <c r="I41" s="4">
        <f t="shared" si="7"/>
        <v>0.003906250000000002</v>
      </c>
      <c r="J41" s="4">
        <f t="shared" si="8"/>
        <v>0.007812500000000003</v>
      </c>
      <c r="K41" s="4">
        <f t="shared" si="9"/>
        <v>0.015625000000000007</v>
      </c>
      <c r="L41" s="4">
        <f t="shared" si="10"/>
        <v>0.031250000000000014</v>
      </c>
      <c r="M41" s="4">
        <f t="shared" si="11"/>
        <v>0.06250000000000003</v>
      </c>
      <c r="N41" s="4">
        <f t="shared" si="12"/>
        <v>0.12500000000000006</v>
      </c>
    </row>
    <row r="42" spans="1:14" ht="12.75">
      <c r="A42" s="9">
        <v>2048</v>
      </c>
      <c r="B42" s="4">
        <f t="shared" si="1"/>
        <v>11</v>
      </c>
      <c r="C42" s="4">
        <f t="shared" si="2"/>
        <v>14</v>
      </c>
      <c r="D42" s="4"/>
      <c r="E42" s="4"/>
      <c r="F42" s="4"/>
      <c r="G42" s="4">
        <f t="shared" si="5"/>
        <v>0.0004882812500000002</v>
      </c>
      <c r="H42" s="4">
        <f t="shared" si="6"/>
        <v>0.0009765625000000004</v>
      </c>
      <c r="I42" s="4">
        <f t="shared" si="7"/>
        <v>0.001953125000000001</v>
      </c>
      <c r="J42" s="4">
        <f t="shared" si="8"/>
        <v>0.003906250000000002</v>
      </c>
      <c r="K42" s="4">
        <f t="shared" si="9"/>
        <v>0.007812500000000003</v>
      </c>
      <c r="L42" s="4">
        <f t="shared" si="10"/>
        <v>0.015625000000000007</v>
      </c>
      <c r="M42" s="4">
        <f t="shared" si="11"/>
        <v>0.031250000000000014</v>
      </c>
      <c r="N42" s="4">
        <f t="shared" si="12"/>
        <v>0.06250000000000003</v>
      </c>
    </row>
    <row r="43" spans="1:14" ht="12.75">
      <c r="A43" s="9">
        <v>4096</v>
      </c>
      <c r="B43" s="4">
        <f t="shared" si="1"/>
        <v>12</v>
      </c>
      <c r="C43" s="4">
        <f t="shared" si="2"/>
        <v>15</v>
      </c>
      <c r="D43" s="4"/>
      <c r="E43" s="4"/>
      <c r="F43" s="4"/>
      <c r="G43" s="4"/>
      <c r="H43" s="4">
        <f t="shared" si="6"/>
        <v>0.0004882812500000002</v>
      </c>
      <c r="I43" s="4">
        <f t="shared" si="7"/>
        <v>0.0009765625000000004</v>
      </c>
      <c r="J43" s="4">
        <f t="shared" si="8"/>
        <v>0.001953125000000001</v>
      </c>
      <c r="K43" s="4">
        <f t="shared" si="9"/>
        <v>0.003906250000000002</v>
      </c>
      <c r="L43" s="4">
        <f t="shared" si="10"/>
        <v>0.007812500000000003</v>
      </c>
      <c r="M43" s="4">
        <f t="shared" si="11"/>
        <v>0.015625000000000007</v>
      </c>
      <c r="N43" s="4">
        <f t="shared" si="12"/>
        <v>0.031250000000000014</v>
      </c>
    </row>
    <row r="44" spans="1:14" ht="12.75">
      <c r="A44" s="9">
        <v>8192</v>
      </c>
      <c r="B44" s="4">
        <f t="shared" si="1"/>
        <v>13</v>
      </c>
      <c r="C44" s="4">
        <f t="shared" si="2"/>
        <v>16</v>
      </c>
      <c r="D44" s="4"/>
      <c r="E44" s="4"/>
      <c r="F44" s="4"/>
      <c r="G44" s="4"/>
      <c r="H44" s="4"/>
      <c r="I44" s="4">
        <f t="shared" si="7"/>
        <v>0.0004882812500000002</v>
      </c>
      <c r="J44" s="4">
        <f t="shared" si="8"/>
        <v>0.0009765625000000004</v>
      </c>
      <c r="K44" s="4">
        <f t="shared" si="9"/>
        <v>0.001953125000000001</v>
      </c>
      <c r="L44" s="4">
        <f t="shared" si="10"/>
        <v>0.003906250000000002</v>
      </c>
      <c r="M44" s="4">
        <f t="shared" si="11"/>
        <v>0.007812500000000003</v>
      </c>
      <c r="N44" s="4">
        <f t="shared" si="12"/>
        <v>0.015625000000000007</v>
      </c>
    </row>
    <row r="45" spans="1:14" ht="12.75">
      <c r="A45" s="9">
        <v>16384</v>
      </c>
      <c r="B45" s="4">
        <f t="shared" si="1"/>
        <v>14</v>
      </c>
      <c r="C45" s="4">
        <f t="shared" si="2"/>
        <v>17</v>
      </c>
      <c r="D45" s="4"/>
      <c r="E45" s="4"/>
      <c r="F45" s="4"/>
      <c r="G45" s="4"/>
      <c r="H45" s="4"/>
      <c r="I45" s="4"/>
      <c r="J45" s="4">
        <f t="shared" si="8"/>
        <v>0.0004882812500000002</v>
      </c>
      <c r="K45" s="4">
        <f t="shared" si="9"/>
        <v>0.0009765625000000004</v>
      </c>
      <c r="L45" s="4">
        <f t="shared" si="10"/>
        <v>0.001953125000000001</v>
      </c>
      <c r="M45" s="4">
        <f t="shared" si="11"/>
        <v>0.003906250000000002</v>
      </c>
      <c r="N45" s="4">
        <f t="shared" si="12"/>
        <v>0.007812500000000003</v>
      </c>
    </row>
    <row r="46" spans="1:14" ht="12.75">
      <c r="A46" s="9">
        <v>32768</v>
      </c>
      <c r="B46" s="4">
        <f t="shared" si="1"/>
        <v>15</v>
      </c>
      <c r="C46" s="4">
        <f t="shared" si="2"/>
        <v>18</v>
      </c>
      <c r="D46" s="4"/>
      <c r="E46" s="4"/>
      <c r="F46" s="4"/>
      <c r="G46" s="4"/>
      <c r="H46" s="4"/>
      <c r="I46" s="4"/>
      <c r="J46" s="4"/>
      <c r="K46" s="4">
        <f t="shared" si="9"/>
        <v>0.0004882812500000002</v>
      </c>
      <c r="L46" s="4">
        <f t="shared" si="10"/>
        <v>0.0009765625000000004</v>
      </c>
      <c r="M46" s="4">
        <f t="shared" si="11"/>
        <v>0.001953125000000001</v>
      </c>
      <c r="N46" s="4">
        <f t="shared" si="12"/>
        <v>0.003906250000000002</v>
      </c>
    </row>
    <row r="47" spans="1:14" ht="12.75">
      <c r="A47" s="9">
        <v>65536</v>
      </c>
      <c r="B47" s="4">
        <f t="shared" si="1"/>
        <v>16</v>
      </c>
      <c r="C47" s="4">
        <f t="shared" si="2"/>
        <v>19</v>
      </c>
      <c r="D47" s="4"/>
      <c r="E47" s="4"/>
      <c r="F47" s="4"/>
      <c r="G47" s="4"/>
      <c r="H47" s="4"/>
      <c r="I47" s="4"/>
      <c r="J47" s="4"/>
      <c r="K47" s="4"/>
      <c r="L47" s="4">
        <f t="shared" si="10"/>
        <v>0.0004882812500000002</v>
      </c>
      <c r="M47" s="4">
        <f t="shared" si="11"/>
        <v>0.0009765625000000004</v>
      </c>
      <c r="N47" s="4">
        <f t="shared" si="12"/>
        <v>0.001953125000000001</v>
      </c>
    </row>
    <row r="48" spans="1:14" ht="12.75">
      <c r="A48" s="9">
        <v>131072</v>
      </c>
      <c r="B48" s="4">
        <f t="shared" si="1"/>
        <v>17</v>
      </c>
      <c r="C48" s="4">
        <f t="shared" si="2"/>
        <v>20</v>
      </c>
      <c r="D48" s="4"/>
      <c r="E48" s="4"/>
      <c r="F48" s="4"/>
      <c r="G48" s="4"/>
      <c r="H48" s="4"/>
      <c r="I48" s="4"/>
      <c r="J48" s="4"/>
      <c r="K48" s="4"/>
      <c r="L48" s="4"/>
      <c r="M48" s="4">
        <f t="shared" si="11"/>
        <v>0.0004882812500000002</v>
      </c>
      <c r="N48" s="4">
        <f t="shared" si="12"/>
        <v>0.0009765625000000004</v>
      </c>
    </row>
    <row r="50" ht="12.75">
      <c r="A50" s="12" t="s">
        <v>78</v>
      </c>
    </row>
    <row r="51" spans="1:2" ht="12.75">
      <c r="A51" t="s">
        <v>79</v>
      </c>
      <c r="B51" s="12">
        <v>8</v>
      </c>
    </row>
    <row r="52" spans="1:6" ht="12.75">
      <c r="A52" t="s">
        <v>81</v>
      </c>
      <c r="B52" s="12">
        <f>1/200</f>
        <v>0.005</v>
      </c>
      <c r="E52" s="3" t="s">
        <v>82</v>
      </c>
      <c r="F52">
        <f>12.5/B53/B52*B51^2</f>
        <v>800</v>
      </c>
    </row>
    <row r="53" spans="1:6" ht="12.75">
      <c r="A53" t="s">
        <v>80</v>
      </c>
      <c r="B53" s="12">
        <v>200</v>
      </c>
      <c r="E53" s="171" t="s">
        <v>261</v>
      </c>
      <c r="F53" s="5">
        <f>LOG(F52)/LOG(2)+3</f>
        <v>12.643856189774725</v>
      </c>
    </row>
    <row r="55" ht="12.75">
      <c r="A55" s="12" t="s">
        <v>122</v>
      </c>
    </row>
    <row r="56" ht="12.75">
      <c r="A56" s="74" t="s">
        <v>123</v>
      </c>
    </row>
    <row r="58" spans="1:13" ht="12.75">
      <c r="A58" s="12" t="s">
        <v>198</v>
      </c>
      <c r="M58" s="11" t="s">
        <v>363</v>
      </c>
    </row>
    <row r="59" spans="1:4" ht="12.75">
      <c r="A59" t="s">
        <v>201</v>
      </c>
      <c r="D59" t="s">
        <v>202</v>
      </c>
    </row>
    <row r="60" spans="1:4" ht="12.75">
      <c r="A60" t="s">
        <v>199</v>
      </c>
      <c r="B60" s="12">
        <v>10</v>
      </c>
      <c r="D60">
        <f>LOG(B60/B61)/LOG(2)</f>
        <v>3.321928094887362</v>
      </c>
    </row>
    <row r="61" spans="1:2" ht="12.75">
      <c r="A61" t="s">
        <v>200</v>
      </c>
      <c r="B61" s="12">
        <v>1</v>
      </c>
    </row>
  </sheetData>
  <sheetProtection/>
  <hyperlinks>
    <hyperlink ref="A56" r:id="rId1" display="http://fr.wikibooks.org/wiki/Photographie/Photom%C3%A9trie/Grandeurs_lumineuses_et_unit%C3%A9s_photom%C3%A9triques"/>
    <hyperlink ref="E10" r:id="rId2" display="http://www.conservationphysics.org/lightmtr/luxmtr1.php"/>
  </hyperlinks>
  <printOptions gridLines="1"/>
  <pageMargins left="0.75" right="0.75" top="1" bottom="1" header="0.4921259845" footer="0.4921259845"/>
  <pageSetup horizontalDpi="300" verticalDpi="300" orientation="portrait" paperSize="9" r:id="rId10"/>
  <headerFooter alignWithMargins="0">
    <oddHeader>&amp;C&amp;F</oddHeader>
    <oddFooter>&amp;CPage &amp;P</oddFooter>
  </headerFooter>
  <drawing r:id="rId9"/>
  <legacyDrawing r:id="rId8"/>
  <oleObjects>
    <oleObject progId="Document" shapeId="50000" r:id="rId4"/>
    <oleObject progId="Document" shapeId="50001" r:id="rId5"/>
    <oleObject progId="Document" shapeId="50002" r:id="rId6"/>
    <oleObject progId="Document" shapeId="50003" r:id="rId7"/>
  </oleObjects>
</worksheet>
</file>

<file path=xl/worksheets/sheet6.xml><?xml version="1.0" encoding="utf-8"?>
<worksheet xmlns="http://schemas.openxmlformats.org/spreadsheetml/2006/main" xmlns:r="http://schemas.openxmlformats.org/officeDocument/2006/relationships">
  <dimension ref="A1:H16"/>
  <sheetViews>
    <sheetView workbookViewId="0" topLeftCell="A1">
      <selection activeCell="C3" sqref="C3"/>
    </sheetView>
  </sheetViews>
  <sheetFormatPr defaultColWidth="11.421875" defaultRowHeight="12.75"/>
  <cols>
    <col min="1" max="1" width="15.57421875" style="0" customWidth="1"/>
    <col min="2" max="2" width="3.7109375" style="0" bestFit="1" customWidth="1"/>
    <col min="3" max="3" width="7.57421875" style="0" bestFit="1" customWidth="1"/>
    <col min="4" max="4" width="7.140625" style="0" bestFit="1" customWidth="1"/>
    <col min="5" max="5" width="5.00390625" style="0" bestFit="1" customWidth="1"/>
    <col min="7" max="7" width="6.8515625" style="5" bestFit="1" customWidth="1"/>
    <col min="8" max="8" width="51.00390625" style="0" bestFit="1" customWidth="1"/>
  </cols>
  <sheetData>
    <row r="1" ht="12.75">
      <c r="A1" s="12" t="s">
        <v>347</v>
      </c>
    </row>
    <row r="3" spans="1:8" s="4" customFormat="1" ht="25.5">
      <c r="A3" s="394" t="s">
        <v>348</v>
      </c>
      <c r="B3" s="394" t="s">
        <v>79</v>
      </c>
      <c r="C3" s="394" t="s">
        <v>362</v>
      </c>
      <c r="D3" s="396" t="s">
        <v>361</v>
      </c>
      <c r="E3" s="394" t="s">
        <v>80</v>
      </c>
      <c r="F3" s="394" t="s">
        <v>349</v>
      </c>
      <c r="G3" s="395" t="s">
        <v>350</v>
      </c>
      <c r="H3" s="394" t="s">
        <v>351</v>
      </c>
    </row>
    <row r="4" spans="1:8" ht="12.75">
      <c r="A4" s="24" t="s">
        <v>352</v>
      </c>
      <c r="B4" s="24">
        <v>8</v>
      </c>
      <c r="C4" s="24">
        <v>200</v>
      </c>
      <c r="D4" s="168">
        <f aca="true" t="shared" si="0" ref="D4:D10">1/C4</f>
        <v>0.005</v>
      </c>
      <c r="E4" s="24">
        <v>200</v>
      </c>
      <c r="F4" s="392">
        <f aca="true" t="shared" si="1" ref="F4:F10">12.5/E4/D4*B4^2</f>
        <v>800</v>
      </c>
      <c r="G4" s="33">
        <f aca="true" t="shared" si="2" ref="G4:G10">LOG(F4)/LOG(2)+3</f>
        <v>12.643856189774725</v>
      </c>
      <c r="H4" s="24"/>
    </row>
    <row r="5" spans="1:8" ht="12.75">
      <c r="A5" s="24" t="s">
        <v>353</v>
      </c>
      <c r="B5" s="24">
        <v>8</v>
      </c>
      <c r="C5" s="24">
        <v>400</v>
      </c>
      <c r="D5" s="168">
        <f t="shared" si="0"/>
        <v>0.0025</v>
      </c>
      <c r="E5" s="24">
        <v>200</v>
      </c>
      <c r="F5" s="392">
        <f t="shared" si="1"/>
        <v>1600</v>
      </c>
      <c r="G5" s="33">
        <f t="shared" si="2"/>
        <v>13.643856189774723</v>
      </c>
      <c r="H5" s="24" t="s">
        <v>357</v>
      </c>
    </row>
    <row r="6" spans="1:8" ht="12.75">
      <c r="A6" s="24" t="s">
        <v>353</v>
      </c>
      <c r="B6" s="24">
        <v>6.5</v>
      </c>
      <c r="C6" s="24">
        <v>50</v>
      </c>
      <c r="D6" s="168">
        <f t="shared" si="0"/>
        <v>0.02</v>
      </c>
      <c r="E6" s="24">
        <v>100</v>
      </c>
      <c r="F6" s="392">
        <f t="shared" si="1"/>
        <v>264.0625</v>
      </c>
      <c r="G6" s="33">
        <f t="shared" si="2"/>
        <v>11.044735626056909</v>
      </c>
      <c r="H6" s="24" t="s">
        <v>358</v>
      </c>
    </row>
    <row r="7" spans="1:8" ht="12.75">
      <c r="A7" s="24" t="s">
        <v>354</v>
      </c>
      <c r="B7" s="24">
        <v>5.6</v>
      </c>
      <c r="C7" s="24">
        <v>60</v>
      </c>
      <c r="D7" s="168">
        <f t="shared" si="0"/>
        <v>0.016666666666666666</v>
      </c>
      <c r="E7" s="24">
        <v>3200</v>
      </c>
      <c r="F7" s="392">
        <f t="shared" si="1"/>
        <v>7.349999999999999</v>
      </c>
      <c r="G7" s="33">
        <f t="shared" si="2"/>
        <v>5.877744249949002</v>
      </c>
      <c r="H7" s="24" t="s">
        <v>357</v>
      </c>
    </row>
    <row r="8" spans="1:8" ht="12.75">
      <c r="A8" s="24" t="s">
        <v>355</v>
      </c>
      <c r="B8" s="24">
        <v>8</v>
      </c>
      <c r="C8" s="24">
        <v>60</v>
      </c>
      <c r="D8" s="168">
        <f t="shared" si="0"/>
        <v>0.016666666666666666</v>
      </c>
      <c r="E8" s="24">
        <v>1600</v>
      </c>
      <c r="F8" s="392">
        <f t="shared" si="1"/>
        <v>30</v>
      </c>
      <c r="G8" s="33">
        <f t="shared" si="2"/>
        <v>7.906890595608519</v>
      </c>
      <c r="H8" s="24" t="s">
        <v>357</v>
      </c>
    </row>
    <row r="9" spans="1:8" ht="12.75">
      <c r="A9" s="24" t="s">
        <v>355</v>
      </c>
      <c r="B9" s="24">
        <v>11</v>
      </c>
      <c r="C9" s="24">
        <v>90</v>
      </c>
      <c r="D9" s="168">
        <f t="shared" si="0"/>
        <v>0.011111111111111112</v>
      </c>
      <c r="E9" s="24">
        <v>3200</v>
      </c>
      <c r="F9" s="392">
        <f t="shared" si="1"/>
        <v>42.5390625</v>
      </c>
      <c r="G9" s="33">
        <f t="shared" si="2"/>
        <v>8.41071633360427</v>
      </c>
      <c r="H9" s="393" t="s">
        <v>359</v>
      </c>
    </row>
    <row r="10" spans="1:8" ht="12.75">
      <c r="A10" s="24" t="s">
        <v>356</v>
      </c>
      <c r="B10" s="24">
        <v>8</v>
      </c>
      <c r="C10" s="24">
        <v>2500</v>
      </c>
      <c r="D10" s="168">
        <f t="shared" si="0"/>
        <v>0.0004</v>
      </c>
      <c r="E10" s="24">
        <v>200</v>
      </c>
      <c r="F10" s="392">
        <f t="shared" si="1"/>
        <v>10000</v>
      </c>
      <c r="G10" s="33">
        <f t="shared" si="2"/>
        <v>16.287712379549447</v>
      </c>
      <c r="H10" s="24" t="s">
        <v>360</v>
      </c>
    </row>
    <row r="11" ht="12.75">
      <c r="D11" s="14"/>
    </row>
    <row r="12" ht="12.75">
      <c r="D12" s="14"/>
    </row>
    <row r="13" ht="12.75">
      <c r="D13" s="14"/>
    </row>
    <row r="14" ht="12.75">
      <c r="D14" s="14"/>
    </row>
    <row r="15" ht="12.75">
      <c r="D15" s="14"/>
    </row>
    <row r="16" ht="12.75">
      <c r="D16" s="14"/>
    </row>
  </sheetData>
  <hyperlinks>
    <hyperlink ref="H9" r:id="rId1" display="https://tayeb.fr/photo/jupiter/jupiter.htm"/>
  </hyperlinks>
  <printOptions/>
  <pageMargins left="0.75" right="0.75" top="1" bottom="1" header="0.4921259845" footer="0.4921259845"/>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1">
      <selection activeCell="A1" sqref="A1"/>
    </sheetView>
  </sheetViews>
  <sheetFormatPr defaultColWidth="11.421875" defaultRowHeight="12.75"/>
  <cols>
    <col min="2" max="2" width="5.57421875" style="0" bestFit="1" customWidth="1"/>
    <col min="3" max="3" width="8.140625" style="0" bestFit="1" customWidth="1"/>
    <col min="4" max="4" width="5.00390625" style="0" bestFit="1" customWidth="1"/>
    <col min="5" max="5" width="8.421875" style="0" bestFit="1" customWidth="1"/>
    <col min="6" max="6" width="9.421875" style="0" bestFit="1" customWidth="1"/>
    <col min="7" max="7" width="14.7109375" style="0" bestFit="1" customWidth="1"/>
    <col min="8" max="8" width="9.00390625" style="0" customWidth="1"/>
    <col min="9" max="9" width="14.7109375" style="0" bestFit="1" customWidth="1"/>
  </cols>
  <sheetData>
    <row r="1" ht="12.75">
      <c r="A1" s="12" t="s">
        <v>290</v>
      </c>
    </row>
    <row r="2" spans="1:10" ht="12.75">
      <c r="A2" t="s">
        <v>144</v>
      </c>
      <c r="B2" t="s">
        <v>291</v>
      </c>
      <c r="C2" t="s">
        <v>292</v>
      </c>
      <c r="D2" t="s">
        <v>80</v>
      </c>
      <c r="E2" t="s">
        <v>223</v>
      </c>
      <c r="F2" t="s">
        <v>293</v>
      </c>
      <c r="G2" t="s">
        <v>294</v>
      </c>
      <c r="H2" s="2" t="s">
        <v>295</v>
      </c>
      <c r="I2" s="2" t="s">
        <v>294</v>
      </c>
      <c r="J2" t="s">
        <v>298</v>
      </c>
    </row>
    <row r="3" spans="1:10" ht="12.75">
      <c r="A3" t="s">
        <v>296</v>
      </c>
      <c r="B3">
        <v>9852</v>
      </c>
      <c r="C3" s="84">
        <v>43623</v>
      </c>
      <c r="D3">
        <v>1000</v>
      </c>
      <c r="E3">
        <v>8</v>
      </c>
      <c r="F3" s="204">
        <f>1/1600</f>
        <v>0.000625</v>
      </c>
      <c r="G3" s="25">
        <f>12.5/F3*E3^2/D3</f>
        <v>1280</v>
      </c>
      <c r="H3" s="2">
        <f>1/3</f>
        <v>0.3333333333333333</v>
      </c>
      <c r="I3" s="205">
        <f>12.5/F3*(E3-H3)^2/D3</f>
        <v>1175.5555555555557</v>
      </c>
      <c r="J3" s="5">
        <f>LOG10(I$3/I3)/LOG10(2)</f>
        <v>0</v>
      </c>
    </row>
    <row r="4" spans="1:10" ht="12.75">
      <c r="A4" t="s">
        <v>297</v>
      </c>
      <c r="B4">
        <v>3106</v>
      </c>
      <c r="C4" s="84">
        <v>43623</v>
      </c>
      <c r="D4">
        <v>500</v>
      </c>
      <c r="E4">
        <v>5.6</v>
      </c>
      <c r="F4" s="204">
        <f>1/2500</f>
        <v>0.0004</v>
      </c>
      <c r="G4" s="25">
        <f>12.5/F4*E4^2/D4</f>
        <v>1959.9999999999998</v>
      </c>
      <c r="H4" s="2">
        <v>0</v>
      </c>
      <c r="I4" s="205">
        <f>12.5/F4*(E4-H4)^2/D4</f>
        <v>1959.9999999999998</v>
      </c>
      <c r="J4" s="5">
        <f>LOG10(I$3/I4)/LOG10(2)</f>
        <v>-0.7375109334434947</v>
      </c>
    </row>
  </sheetData>
  <sheetProtection/>
  <printOptions/>
  <pageMargins left="0.75" right="0.75" top="1" bottom="1" header="0.4921259845" footer="0.492125984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
    </sheetView>
  </sheetViews>
  <sheetFormatPr defaultColWidth="11.421875" defaultRowHeight="12.75"/>
  <cols>
    <col min="1" max="1" width="10.57421875" style="0" customWidth="1"/>
    <col min="2" max="2" width="8.00390625" style="0" bestFit="1" customWidth="1"/>
    <col min="3" max="3" width="7.57421875" style="0" bestFit="1" customWidth="1"/>
    <col min="4" max="4" width="8.00390625" style="0" bestFit="1" customWidth="1"/>
    <col min="5" max="5" width="5.140625" style="5" bestFit="1" customWidth="1"/>
    <col min="6" max="6" width="11.140625" style="0" bestFit="1" customWidth="1"/>
    <col min="7" max="7" width="8.140625" style="0" customWidth="1"/>
    <col min="8" max="8" width="7.140625" style="0" bestFit="1" customWidth="1"/>
    <col min="9" max="10" width="5.00390625" style="0" bestFit="1" customWidth="1"/>
    <col min="11" max="12" width="8.140625" style="0" bestFit="1" customWidth="1"/>
  </cols>
  <sheetData>
    <row r="1" ht="12.75">
      <c r="A1" s="12" t="s">
        <v>108</v>
      </c>
    </row>
    <row r="2" spans="1:12" s="12" customFormat="1" ht="12.75">
      <c r="A2" s="12" t="s">
        <v>51</v>
      </c>
      <c r="B2" s="12" t="s">
        <v>11</v>
      </c>
      <c r="C2" s="12" t="s">
        <v>34</v>
      </c>
      <c r="D2" s="12" t="s">
        <v>35</v>
      </c>
      <c r="E2" s="61" t="s">
        <v>101</v>
      </c>
      <c r="F2" s="12" t="s">
        <v>102</v>
      </c>
      <c r="G2" s="12" t="s">
        <v>103</v>
      </c>
      <c r="H2" s="12" t="s">
        <v>109</v>
      </c>
      <c r="I2" s="12" t="s">
        <v>104</v>
      </c>
      <c r="J2" s="12" t="s">
        <v>105</v>
      </c>
      <c r="K2" s="12" t="s">
        <v>34</v>
      </c>
      <c r="L2" s="12" t="s">
        <v>35</v>
      </c>
    </row>
    <row r="3" spans="1:12" ht="12.75">
      <c r="A3" t="s">
        <v>88</v>
      </c>
      <c r="B3" t="s">
        <v>106</v>
      </c>
      <c r="C3">
        <v>4288</v>
      </c>
      <c r="D3">
        <v>2848</v>
      </c>
      <c r="E3" s="5">
        <f aca="true" t="shared" si="0" ref="E3:E8">C3/D3</f>
        <v>1.5056179775280898</v>
      </c>
      <c r="F3" t="s">
        <v>107</v>
      </c>
      <c r="G3" s="62">
        <v>0.25</v>
      </c>
      <c r="H3" s="26" t="s">
        <v>110</v>
      </c>
      <c r="I3">
        <f>(C3-K3)/2</f>
        <v>1608</v>
      </c>
      <c r="J3">
        <f>(D3-L3)/2</f>
        <v>1068</v>
      </c>
      <c r="K3">
        <f aca="true" t="shared" si="1" ref="K3:L6">INT(C3*$G3/2)*2</f>
        <v>1072</v>
      </c>
      <c r="L3">
        <f t="shared" si="1"/>
        <v>712</v>
      </c>
    </row>
    <row r="4" spans="1:12" ht="12.75">
      <c r="A4" t="s">
        <v>88</v>
      </c>
      <c r="B4" t="s">
        <v>106</v>
      </c>
      <c r="C4">
        <v>4288</v>
      </c>
      <c r="D4">
        <v>2848</v>
      </c>
      <c r="E4" s="5">
        <f t="shared" si="0"/>
        <v>1.5056179775280898</v>
      </c>
      <c r="F4" t="s">
        <v>111</v>
      </c>
      <c r="G4" s="62">
        <v>0.2</v>
      </c>
      <c r="H4" s="26" t="s">
        <v>110</v>
      </c>
      <c r="I4">
        <v>0</v>
      </c>
      <c r="J4">
        <v>0</v>
      </c>
      <c r="K4">
        <f t="shared" si="1"/>
        <v>856</v>
      </c>
      <c r="L4">
        <f t="shared" si="1"/>
        <v>568</v>
      </c>
    </row>
    <row r="5" spans="1:12" ht="12.75">
      <c r="A5" t="s">
        <v>96</v>
      </c>
      <c r="B5" t="s">
        <v>106</v>
      </c>
      <c r="C5">
        <v>3648</v>
      </c>
      <c r="D5">
        <v>2736</v>
      </c>
      <c r="E5" s="5">
        <f t="shared" si="0"/>
        <v>1.3333333333333333</v>
      </c>
      <c r="F5" t="s">
        <v>107</v>
      </c>
      <c r="G5" s="62">
        <v>0.15</v>
      </c>
      <c r="H5" s="26" t="s">
        <v>110</v>
      </c>
      <c r="I5">
        <f>(C5-K5)/2</f>
        <v>1551</v>
      </c>
      <c r="J5">
        <f>(D5-L5)/2</f>
        <v>1163</v>
      </c>
      <c r="K5">
        <f t="shared" si="1"/>
        <v>546</v>
      </c>
      <c r="L5">
        <f t="shared" si="1"/>
        <v>410</v>
      </c>
    </row>
    <row r="6" spans="1:12" ht="12.75">
      <c r="A6" t="s">
        <v>96</v>
      </c>
      <c r="B6" t="s">
        <v>106</v>
      </c>
      <c r="C6">
        <v>3648</v>
      </c>
      <c r="D6">
        <v>2736</v>
      </c>
      <c r="E6" s="5">
        <f t="shared" si="0"/>
        <v>1.3333333333333333</v>
      </c>
      <c r="F6" t="s">
        <v>111</v>
      </c>
      <c r="G6" s="62">
        <v>0.15</v>
      </c>
      <c r="H6" s="26" t="s">
        <v>110</v>
      </c>
      <c r="I6">
        <v>0</v>
      </c>
      <c r="J6">
        <v>0</v>
      </c>
      <c r="K6">
        <f t="shared" si="1"/>
        <v>546</v>
      </c>
      <c r="L6">
        <f t="shared" si="1"/>
        <v>410</v>
      </c>
    </row>
    <row r="7" spans="1:12" ht="12.75">
      <c r="A7" t="s">
        <v>225</v>
      </c>
      <c r="B7" t="s">
        <v>106</v>
      </c>
      <c r="C7">
        <v>7360</v>
      </c>
      <c r="D7">
        <v>4912</v>
      </c>
      <c r="E7" s="5">
        <f t="shared" si="0"/>
        <v>1.498371335504886</v>
      </c>
      <c r="F7" t="s">
        <v>107</v>
      </c>
      <c r="G7" s="62">
        <v>0.06332</v>
      </c>
      <c r="H7" s="26" t="s">
        <v>110</v>
      </c>
      <c r="I7">
        <f>(C7-K7)/2</f>
        <v>3447</v>
      </c>
      <c r="J7">
        <f>(D7-L7)/2</f>
        <v>2301</v>
      </c>
      <c r="K7">
        <f>INT(C7*$G7/2)*2</f>
        <v>466</v>
      </c>
      <c r="L7">
        <f>INT(D7*$G7/2)*2</f>
        <v>310</v>
      </c>
    </row>
    <row r="8" spans="1:12" ht="12.75">
      <c r="A8" t="s">
        <v>225</v>
      </c>
      <c r="B8" t="s">
        <v>106</v>
      </c>
      <c r="C8">
        <v>7360</v>
      </c>
      <c r="D8">
        <v>4912</v>
      </c>
      <c r="E8" s="5">
        <f t="shared" si="0"/>
        <v>1.498371335504886</v>
      </c>
      <c r="F8" t="s">
        <v>107</v>
      </c>
      <c r="G8" s="62"/>
      <c r="H8" s="26" t="s">
        <v>110</v>
      </c>
      <c r="I8">
        <f>(C8-K8)/2</f>
        <v>3447.5</v>
      </c>
      <c r="J8">
        <f>(D8-L8)/2</f>
        <v>2295</v>
      </c>
      <c r="K8" s="62">
        <v>465</v>
      </c>
      <c r="L8" s="62">
        <v>322</v>
      </c>
    </row>
    <row r="9" ht="12.75">
      <c r="A9" t="s">
        <v>112</v>
      </c>
    </row>
    <row r="12" spans="1:5" ht="12.75">
      <c r="A12" s="12" t="s">
        <v>262</v>
      </c>
      <c r="E12"/>
    </row>
    <row r="13" spans="3:6" ht="12.75">
      <c r="C13" t="s">
        <v>34</v>
      </c>
      <c r="D13" t="s">
        <v>35</v>
      </c>
      <c r="E13" t="s">
        <v>101</v>
      </c>
      <c r="F13" t="s">
        <v>263</v>
      </c>
    </row>
    <row r="14" spans="3:6" ht="12.75">
      <c r="C14" s="62">
        <v>6000</v>
      </c>
      <c r="D14" s="62">
        <v>4000</v>
      </c>
      <c r="E14">
        <f>C14/D14</f>
        <v>1.5</v>
      </c>
      <c r="F14" s="9">
        <f>C14*D14</f>
        <v>24000000</v>
      </c>
    </row>
    <row r="15" spans="3:6" ht="12.75">
      <c r="C15">
        <f>D15*E15</f>
        <v>5056</v>
      </c>
      <c r="D15" s="62">
        <v>3160</v>
      </c>
      <c r="E15" s="62">
        <f>16/10</f>
        <v>1.6</v>
      </c>
      <c r="F15" s="9">
        <f>C15*D15</f>
        <v>15976960</v>
      </c>
    </row>
    <row r="16" ht="12.75">
      <c r="E16"/>
    </row>
  </sheetData>
  <sheetProtection/>
  <printOptions/>
  <pageMargins left="0.75" right="0.75" top="1" bottom="1" header="0.4921259845" footer="0.4921259845"/>
  <pageSetup horizontalDpi="1200" verticalDpi="12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D36"/>
  <sheetViews>
    <sheetView zoomScalePageLayoutView="0" workbookViewId="0" topLeftCell="A1">
      <selection activeCell="J43" sqref="J43"/>
    </sheetView>
  </sheetViews>
  <sheetFormatPr defaultColWidth="11.421875" defaultRowHeight="12.75"/>
  <cols>
    <col min="3" max="3" width="11.421875" style="6" customWidth="1"/>
    <col min="4" max="4" width="8.140625" style="0" bestFit="1" customWidth="1"/>
  </cols>
  <sheetData>
    <row r="1" spans="1:4" ht="12.75">
      <c r="A1" t="s">
        <v>264</v>
      </c>
      <c r="C1" s="390" t="s">
        <v>80</v>
      </c>
      <c r="D1" s="3" t="s">
        <v>346</v>
      </c>
    </row>
    <row r="2" ht="12.75"/>
    <row r="3" spans="1:4" ht="12.75">
      <c r="A3" s="172">
        <v>1</v>
      </c>
      <c r="C3" s="391">
        <v>50</v>
      </c>
      <c r="D3" s="391">
        <v>50</v>
      </c>
    </row>
    <row r="4" spans="1:4" ht="12.75">
      <c r="A4" s="6">
        <f aca="true" t="shared" si="0" ref="A4:A36">A3*2^(1/6)</f>
        <v>1.122462048309373</v>
      </c>
      <c r="C4" s="9">
        <f>C3*2^(1/3)</f>
        <v>62.99605249474366</v>
      </c>
      <c r="D4" s="9">
        <v>64</v>
      </c>
    </row>
    <row r="5" spans="1:4" ht="12.75">
      <c r="A5" s="6">
        <f t="shared" si="0"/>
        <v>1.2599210498948732</v>
      </c>
      <c r="C5" s="9">
        <f>C4*2^(1/3)</f>
        <v>79.37005259840997</v>
      </c>
      <c r="D5" s="9">
        <v>80</v>
      </c>
    </row>
    <row r="6" spans="1:4" ht="12.75">
      <c r="A6" s="173">
        <f t="shared" si="0"/>
        <v>1.4142135623730951</v>
      </c>
      <c r="C6" s="391">
        <f>C5*2^(1/3)</f>
        <v>100</v>
      </c>
      <c r="D6" s="391">
        <v>100</v>
      </c>
    </row>
    <row r="7" spans="1:4" ht="12.75">
      <c r="A7" s="6">
        <f t="shared" si="0"/>
        <v>1.5874010519681996</v>
      </c>
      <c r="C7" s="9">
        <f aca="true" t="shared" si="1" ref="C7:C36">C6*2^(1/3)</f>
        <v>125.99210498948732</v>
      </c>
      <c r="D7" s="9">
        <v>125</v>
      </c>
    </row>
    <row r="8" spans="1:4" ht="12.75">
      <c r="A8" s="6">
        <f t="shared" si="0"/>
        <v>1.7817974362806788</v>
      </c>
      <c r="C8" s="9">
        <f t="shared" si="1"/>
        <v>158.74010519681994</v>
      </c>
      <c r="D8" s="9">
        <v>160</v>
      </c>
    </row>
    <row r="9" spans="1:4" ht="12.75">
      <c r="A9" s="172">
        <f t="shared" si="0"/>
        <v>2.0000000000000004</v>
      </c>
      <c r="C9" s="391">
        <f t="shared" si="1"/>
        <v>200</v>
      </c>
      <c r="D9" s="391">
        <v>200</v>
      </c>
    </row>
    <row r="10" spans="1:4" ht="12.75">
      <c r="A10" s="6">
        <f t="shared" si="0"/>
        <v>2.2449240966187465</v>
      </c>
      <c r="C10" s="9">
        <f t="shared" si="1"/>
        <v>251.98420997897463</v>
      </c>
      <c r="D10" s="9">
        <v>250</v>
      </c>
    </row>
    <row r="11" spans="1:4" ht="12.75">
      <c r="A11" s="6">
        <f t="shared" si="0"/>
        <v>2.519842099789747</v>
      </c>
      <c r="C11" s="9">
        <f t="shared" si="1"/>
        <v>317.4802103936399</v>
      </c>
      <c r="D11" s="9">
        <v>320</v>
      </c>
    </row>
    <row r="12" spans="1:4" ht="12.75">
      <c r="A12" s="173">
        <f t="shared" si="0"/>
        <v>2.8284271247461907</v>
      </c>
      <c r="C12" s="391">
        <f t="shared" si="1"/>
        <v>400</v>
      </c>
      <c r="D12" s="391">
        <v>400</v>
      </c>
    </row>
    <row r="13" spans="1:4" ht="12.75">
      <c r="A13" s="6">
        <f t="shared" si="0"/>
        <v>3.1748021039363996</v>
      </c>
      <c r="C13" s="9">
        <f t="shared" si="1"/>
        <v>503.96841995794927</v>
      </c>
      <c r="D13" s="9">
        <v>500</v>
      </c>
    </row>
    <row r="14" spans="1:4" ht="12.75">
      <c r="A14" s="6">
        <f t="shared" si="0"/>
        <v>3.563594872561358</v>
      </c>
      <c r="C14" s="9">
        <f t="shared" si="1"/>
        <v>634.9604207872798</v>
      </c>
      <c r="D14" s="9">
        <v>640</v>
      </c>
    </row>
    <row r="15" spans="1:4" ht="12.75">
      <c r="A15" s="172">
        <f t="shared" si="0"/>
        <v>4.000000000000001</v>
      </c>
      <c r="C15" s="391">
        <f t="shared" si="1"/>
        <v>800</v>
      </c>
      <c r="D15" s="391">
        <v>800</v>
      </c>
    </row>
    <row r="16" spans="1:4" ht="12.75">
      <c r="A16" s="6">
        <f t="shared" si="0"/>
        <v>4.489848193237493</v>
      </c>
      <c r="C16" s="9">
        <f t="shared" si="1"/>
        <v>1007.9368399158985</v>
      </c>
      <c r="D16" s="9">
        <v>1000</v>
      </c>
    </row>
    <row r="17" spans="1:4" ht="12.75">
      <c r="A17" s="6">
        <f t="shared" si="0"/>
        <v>5.039684199579494</v>
      </c>
      <c r="C17" s="9">
        <f t="shared" si="1"/>
        <v>1269.9208415745595</v>
      </c>
      <c r="D17" s="9">
        <v>1250</v>
      </c>
    </row>
    <row r="18" spans="1:4" ht="12.75">
      <c r="A18" s="173">
        <f t="shared" si="0"/>
        <v>5.6568542494923815</v>
      </c>
      <c r="C18" s="391">
        <f t="shared" si="1"/>
        <v>1600</v>
      </c>
      <c r="D18" s="391">
        <v>1600</v>
      </c>
    </row>
    <row r="19" spans="1:4" ht="12.75">
      <c r="A19" s="6">
        <f t="shared" si="0"/>
        <v>6.349604207872799</v>
      </c>
      <c r="C19" s="9">
        <f t="shared" si="1"/>
        <v>2015.873679831797</v>
      </c>
      <c r="D19" s="9">
        <v>2000</v>
      </c>
    </row>
    <row r="20" spans="1:4" ht="12.75">
      <c r="A20" s="6">
        <f t="shared" si="0"/>
        <v>7.127189745122716</v>
      </c>
      <c r="C20" s="9">
        <f t="shared" si="1"/>
        <v>2539.841683149119</v>
      </c>
      <c r="D20" s="9">
        <v>2500</v>
      </c>
    </row>
    <row r="21" spans="1:4" ht="12.75">
      <c r="A21" s="172">
        <f t="shared" si="0"/>
        <v>8.000000000000002</v>
      </c>
      <c r="C21" s="391">
        <f t="shared" si="1"/>
        <v>3200</v>
      </c>
      <c r="D21" s="391">
        <v>3200</v>
      </c>
    </row>
    <row r="22" spans="1:4" ht="12.75">
      <c r="A22" s="6">
        <f t="shared" si="0"/>
        <v>8.979696386474986</v>
      </c>
      <c r="C22" s="9">
        <f t="shared" si="1"/>
        <v>4031.747359663594</v>
      </c>
      <c r="D22" s="9">
        <v>4000</v>
      </c>
    </row>
    <row r="23" spans="1:4" ht="12.75">
      <c r="A23" s="6">
        <f t="shared" si="0"/>
        <v>10.079368399158987</v>
      </c>
      <c r="C23" s="9">
        <f t="shared" si="1"/>
        <v>5079.683366298238</v>
      </c>
      <c r="D23" s="9">
        <v>5000</v>
      </c>
    </row>
    <row r="24" spans="1:4" ht="12.75">
      <c r="A24" s="173">
        <f t="shared" si="0"/>
        <v>11.313708498984763</v>
      </c>
      <c r="C24" s="391">
        <f t="shared" si="1"/>
        <v>6400</v>
      </c>
      <c r="D24" s="391">
        <v>6400</v>
      </c>
    </row>
    <row r="25" spans="1:4" ht="12.75">
      <c r="A25" s="6">
        <f t="shared" si="0"/>
        <v>12.699208415745598</v>
      </c>
      <c r="C25" s="9">
        <f t="shared" si="1"/>
        <v>8063.494719327188</v>
      </c>
      <c r="D25" s="9">
        <v>8000</v>
      </c>
    </row>
    <row r="26" spans="1:4" ht="12.75">
      <c r="A26" s="6">
        <f t="shared" si="0"/>
        <v>14.254379490245432</v>
      </c>
      <c r="C26" s="9">
        <f t="shared" si="1"/>
        <v>10159.366732596476</v>
      </c>
      <c r="D26" s="9">
        <v>10000</v>
      </c>
    </row>
    <row r="27" spans="1:4" ht="12.75">
      <c r="A27" s="172">
        <f t="shared" si="0"/>
        <v>16.000000000000004</v>
      </c>
      <c r="C27" s="391">
        <f t="shared" si="1"/>
        <v>12800</v>
      </c>
      <c r="D27" s="391">
        <v>12800</v>
      </c>
    </row>
    <row r="28" spans="1:4" ht="12.75">
      <c r="A28" s="6">
        <f t="shared" si="0"/>
        <v>17.959392772949972</v>
      </c>
      <c r="C28" s="9">
        <f t="shared" si="1"/>
        <v>16126.989438654376</v>
      </c>
      <c r="D28" s="9"/>
    </row>
    <row r="29" spans="1:4" ht="12.75">
      <c r="A29" s="6">
        <f t="shared" si="0"/>
        <v>20.158736798317975</v>
      </c>
      <c r="C29" s="9">
        <f t="shared" si="1"/>
        <v>20318.733465192952</v>
      </c>
      <c r="D29" s="9"/>
    </row>
    <row r="30" spans="1:4" ht="12.75">
      <c r="A30" s="173">
        <f t="shared" si="0"/>
        <v>22.627416997969526</v>
      </c>
      <c r="C30" s="391">
        <f t="shared" si="1"/>
        <v>25600</v>
      </c>
      <c r="D30" s="391">
        <v>25600</v>
      </c>
    </row>
    <row r="31" spans="1:4" ht="12.75">
      <c r="A31" s="6">
        <f t="shared" si="0"/>
        <v>25.398416831491197</v>
      </c>
      <c r="C31" s="9">
        <f t="shared" si="1"/>
        <v>32253.978877308753</v>
      </c>
      <c r="D31" s="9"/>
    </row>
    <row r="32" spans="1:4" ht="12.75">
      <c r="A32" s="6">
        <f t="shared" si="0"/>
        <v>28.508758980490864</v>
      </c>
      <c r="C32" s="9">
        <f t="shared" si="1"/>
        <v>40637.466930385905</v>
      </c>
      <c r="D32" s="9"/>
    </row>
    <row r="33" spans="1:4" ht="12.75">
      <c r="A33" s="172">
        <f t="shared" si="0"/>
        <v>32.00000000000001</v>
      </c>
      <c r="C33" s="391">
        <f t="shared" si="1"/>
        <v>51200</v>
      </c>
      <c r="D33" s="391">
        <v>51200</v>
      </c>
    </row>
    <row r="34" spans="1:4" ht="12.75">
      <c r="A34" s="6">
        <f t="shared" si="0"/>
        <v>35.918785545899944</v>
      </c>
      <c r="C34" s="9">
        <f t="shared" si="1"/>
        <v>64507.957754617506</v>
      </c>
      <c r="D34" s="9"/>
    </row>
    <row r="35" spans="1:4" ht="12.75">
      <c r="A35" s="6">
        <f t="shared" si="0"/>
        <v>40.31747359663595</v>
      </c>
      <c r="C35" s="9">
        <f t="shared" si="1"/>
        <v>81274.93386077181</v>
      </c>
      <c r="D35" s="9"/>
    </row>
    <row r="36" spans="1:4" ht="12.75">
      <c r="A36" s="173">
        <f t="shared" si="0"/>
        <v>45.25483399593905</v>
      </c>
      <c r="C36" s="391">
        <f t="shared" si="1"/>
        <v>102400</v>
      </c>
      <c r="D36" s="391">
        <v>102400</v>
      </c>
    </row>
  </sheetData>
  <sheetProtection/>
  <printOptions/>
  <pageMargins left="0.75" right="0.75" top="1" bottom="1"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tayeb</cp:lastModifiedBy>
  <cp:lastPrinted>2011-12-23T00:27:58Z</cp:lastPrinted>
  <dcterms:created xsi:type="dcterms:W3CDTF">1998-04-24T08:41:10Z</dcterms:created>
  <dcterms:modified xsi:type="dcterms:W3CDTF">2024-01-16T13:53:15Z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